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+PRACE+\++EPC++\Město Studénka\"/>
    </mc:Choice>
  </mc:AlternateContent>
  <xr:revisionPtr revIDLastSave="0" documentId="13_ncr:1_{5802C0EB-701E-4B68-90F4-B3FD1EDA0FC6}" xr6:coauthVersionLast="47" xr6:coauthVersionMax="47" xr10:uidLastSave="{00000000-0000-0000-0000-000000000000}"/>
  <bookViews>
    <workbookView xWindow="-120" yWindow="-120" windowWidth="29040" windowHeight="15840" tabRatio="849" firstSheet="17" activeTab="23" xr2:uid="{00000000-000D-0000-FFFF-FFFF00000000}"/>
  </bookViews>
  <sheets>
    <sheet name="1 MŠ Budovatelská 580" sheetId="59" r:id="rId1"/>
    <sheet name="2 MŠ Butovická 106" sheetId="66" r:id="rId2"/>
    <sheet name="3 MŠ Komenského 700" sheetId="65" r:id="rId3"/>
    <sheet name="4 MŠ Poštovní 659" sheetId="82" r:id="rId4"/>
    <sheet name="5 ZŠ Butovická 346" sheetId="89" r:id="rId5"/>
    <sheet name="6 ZŠ FKT (TGM) 2. května 500" sheetId="90" r:id="rId6"/>
    <sheet name="7-10 ZŠ Sjednocení" sheetId="91" r:id="rId7"/>
    <sheet name="11 ZUŠ Butovická 376" sheetId="92" r:id="rId8"/>
    <sheet name="12 Nový zámek " sheetId="93" r:id="rId9"/>
    <sheet name="13 SDH 2. května 883" sheetId="94" r:id="rId10"/>
    <sheet name="14 SDH Družstevní 284" sheetId="81" r:id="rId11"/>
    <sheet name="15 SDH Butovická 514" sheetId="86" r:id="rId12"/>
    <sheet name="16 Dělnický dům 2. května 7" sheetId="79" r:id="rId13"/>
    <sheet name="17 jídelna FKT (TGM) 2. května" sheetId="95" r:id="rId14"/>
    <sheet name="18 MěÚ 762" sheetId="88" r:id="rId15"/>
    <sheet name="19 MŠ R. Tomáška" sheetId="76" r:id="rId16"/>
    <sheet name="20 budova A.g.L.Svobody čp. 760" sheetId="75" r:id="rId17"/>
    <sheet name="23 sport. ubyt. komplex" sheetId="72" r:id="rId18"/>
    <sheet name="22 poštovní 772" sheetId="85" r:id="rId19"/>
    <sheet name="21 MŠ Nová Horka + byty" sheetId="74" r:id="rId20"/>
    <sheet name="24 Sportovní hala" sheetId="71" r:id="rId21"/>
    <sheet name="25 Tovární 386" sheetId="87" r:id="rId22"/>
    <sheet name="26 ČOV" sheetId="96" r:id="rId23"/>
    <sheet name="27Veřejné osvětlení" sheetId="48" r:id="rId24"/>
    <sheet name="Klimatické údaje 2019" sheetId="45" r:id="rId25"/>
    <sheet name="Provozní podmínky" sheetId="97" r:id="rId26"/>
    <sheet name="Vzor (2)" sheetId="84" r:id="rId2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5" i="48" l="1"/>
  <c r="AO17" i="48" s="1"/>
  <c r="AG5" i="48"/>
  <c r="AG8" i="48"/>
  <c r="M5" i="48"/>
  <c r="AC5" i="48"/>
  <c r="Y5" i="48"/>
  <c r="U5" i="48"/>
  <c r="I5" i="48"/>
  <c r="AF8" i="48"/>
  <c r="AO8" i="48"/>
  <c r="E8" i="48"/>
  <c r="M8" i="48"/>
  <c r="T17" i="48"/>
  <c r="P17" i="48"/>
  <c r="Q17" i="48"/>
  <c r="J17" i="48"/>
  <c r="F17" i="48"/>
  <c r="B17" i="48"/>
  <c r="I8" i="48"/>
  <c r="AC8" i="48"/>
  <c r="Y8" i="48"/>
  <c r="U8" i="48"/>
  <c r="AL17" i="48"/>
  <c r="AN8" i="48"/>
  <c r="AN5" i="48"/>
  <c r="AH17" i="48"/>
  <c r="AD17" i="48"/>
  <c r="AF5" i="48"/>
  <c r="Z17" i="48"/>
  <c r="AB8" i="48"/>
  <c r="AB5" i="48"/>
  <c r="AC17" i="48" s="1"/>
  <c r="V17" i="48"/>
  <c r="X8" i="48"/>
  <c r="X5" i="48"/>
  <c r="R17" i="48"/>
  <c r="T8" i="48"/>
  <c r="T5" i="48"/>
  <c r="L8" i="48"/>
  <c r="L5" i="48"/>
  <c r="M17" i="48" s="1"/>
  <c r="H8" i="48"/>
  <c r="H5" i="48"/>
  <c r="I17" i="48" s="1"/>
  <c r="D8" i="48"/>
  <c r="N17" i="48"/>
  <c r="Q5" i="48"/>
  <c r="P8" i="48"/>
  <c r="Q8" i="48" s="1"/>
  <c r="P5" i="48"/>
  <c r="I17" i="85"/>
  <c r="H17" i="85"/>
  <c r="I17" i="86"/>
  <c r="H17" i="86"/>
  <c r="AA17" i="91"/>
  <c r="R9" i="74"/>
  <c r="S9" i="74" s="1"/>
  <c r="Y17" i="75"/>
  <c r="X17" i="75"/>
  <c r="Z16" i="75"/>
  <c r="Z15" i="75"/>
  <c r="Z14" i="75"/>
  <c r="Z13" i="75"/>
  <c r="Z12" i="75"/>
  <c r="Z11" i="75"/>
  <c r="Z10" i="75"/>
  <c r="Z9" i="75"/>
  <c r="Z8" i="75"/>
  <c r="Z7" i="75"/>
  <c r="Z6" i="75"/>
  <c r="AA17" i="75"/>
  <c r="Z5" i="75"/>
  <c r="O17" i="79"/>
  <c r="P16" i="79"/>
  <c r="P15" i="79"/>
  <c r="P14" i="79"/>
  <c r="P13" i="79"/>
  <c r="P12" i="79"/>
  <c r="Q11" i="79"/>
  <c r="R11" i="79" s="1"/>
  <c r="P11" i="79"/>
  <c r="P10" i="79"/>
  <c r="P9" i="79"/>
  <c r="P8" i="79"/>
  <c r="P7" i="79"/>
  <c r="P6" i="79"/>
  <c r="Q5" i="79"/>
  <c r="Q17" i="79" s="1"/>
  <c r="P5" i="79"/>
  <c r="P17" i="79" s="1"/>
  <c r="P17" i="71"/>
  <c r="N17" i="71"/>
  <c r="O17" i="71"/>
  <c r="Q17" i="71"/>
  <c r="R17" i="72"/>
  <c r="Q17" i="72"/>
  <c r="P16" i="72"/>
  <c r="P15" i="72"/>
  <c r="P14" i="72"/>
  <c r="P13" i="72"/>
  <c r="P12" i="72"/>
  <c r="Q11" i="72"/>
  <c r="R11" i="72" s="1"/>
  <c r="P11" i="72"/>
  <c r="P10" i="72"/>
  <c r="P9" i="72"/>
  <c r="P8" i="72"/>
  <c r="P7" i="72"/>
  <c r="P6" i="72"/>
  <c r="P5" i="72"/>
  <c r="Q11" i="71"/>
  <c r="Q5" i="71"/>
  <c r="P11" i="71"/>
  <c r="P5" i="71"/>
  <c r="O11" i="71"/>
  <c r="O12" i="71"/>
  <c r="O13" i="71"/>
  <c r="O14" i="71"/>
  <c r="O15" i="71"/>
  <c r="O16" i="71"/>
  <c r="O5" i="71"/>
  <c r="C6" i="71"/>
  <c r="C7" i="71"/>
  <c r="C8" i="71"/>
  <c r="C9" i="71"/>
  <c r="C10" i="71"/>
  <c r="C11" i="71"/>
  <c r="C12" i="71"/>
  <c r="C13" i="71"/>
  <c r="C14" i="71"/>
  <c r="C15" i="71"/>
  <c r="C16" i="71"/>
  <c r="C5" i="71"/>
  <c r="H17" i="79"/>
  <c r="I17" i="79"/>
  <c r="K17" i="71"/>
  <c r="M17" i="71"/>
  <c r="J17" i="71"/>
  <c r="AK17" i="79"/>
  <c r="AM17" i="79"/>
  <c r="AJ17" i="79"/>
  <c r="AH5" i="79"/>
  <c r="AH17" i="79" s="1"/>
  <c r="M5" i="75"/>
  <c r="AC5" i="79"/>
  <c r="AC17" i="79" s="1"/>
  <c r="X5" i="79"/>
  <c r="X17" i="79" s="1"/>
  <c r="AF17" i="79"/>
  <c r="AE17" i="79"/>
  <c r="AA17" i="79"/>
  <c r="Z17" i="79"/>
  <c r="V17" i="79"/>
  <c r="U17" i="79"/>
  <c r="K17" i="79"/>
  <c r="J17" i="79"/>
  <c r="M5" i="79"/>
  <c r="M17" i="79" s="1"/>
  <c r="AG7" i="79"/>
  <c r="AG6" i="79"/>
  <c r="AG5" i="79"/>
  <c r="AB7" i="79"/>
  <c r="AB6" i="79"/>
  <c r="AB5" i="79"/>
  <c r="W7" i="79"/>
  <c r="W6" i="79"/>
  <c r="W5" i="79"/>
  <c r="AL16" i="79"/>
  <c r="AL15" i="79"/>
  <c r="AL14" i="79"/>
  <c r="AL13" i="79"/>
  <c r="AL12" i="79"/>
  <c r="AL11" i="79"/>
  <c r="AL10" i="79"/>
  <c r="AL9" i="79"/>
  <c r="AL8" i="79"/>
  <c r="AL6" i="79"/>
  <c r="AL5" i="79"/>
  <c r="K17" i="75"/>
  <c r="M17" i="75"/>
  <c r="J17" i="75"/>
  <c r="AG16" i="79"/>
  <c r="AG15" i="79"/>
  <c r="AG14" i="79"/>
  <c r="AG13" i="79"/>
  <c r="AG12" i="79"/>
  <c r="AG11" i="79"/>
  <c r="AG10" i="79"/>
  <c r="AG9" i="79"/>
  <c r="AG8" i="79"/>
  <c r="AB16" i="79"/>
  <c r="AB15" i="79"/>
  <c r="AB14" i="79"/>
  <c r="AB13" i="79"/>
  <c r="AB12" i="79"/>
  <c r="AB11" i="79"/>
  <c r="AB10" i="79"/>
  <c r="AB9" i="79"/>
  <c r="AB8" i="79"/>
  <c r="L8" i="79"/>
  <c r="W16" i="79"/>
  <c r="W15" i="79"/>
  <c r="W14" i="79"/>
  <c r="W13" i="79"/>
  <c r="W12" i="79"/>
  <c r="W11" i="79"/>
  <c r="W10" i="79"/>
  <c r="W9" i="79"/>
  <c r="W8" i="79"/>
  <c r="V16" i="91"/>
  <c r="V17" i="91" s="1"/>
  <c r="R16" i="91"/>
  <c r="R17" i="91" s="1"/>
  <c r="S17" i="91"/>
  <c r="U17" i="91"/>
  <c r="W17" i="91"/>
  <c r="N17" i="91"/>
  <c r="O17" i="91"/>
  <c r="P17" i="91"/>
  <c r="AB5" i="89"/>
  <c r="Q5" i="89"/>
  <c r="S5" i="66"/>
  <c r="R26" i="66"/>
  <c r="R5" i="66"/>
  <c r="I17" i="81"/>
  <c r="H17" i="81"/>
  <c r="P14" i="91"/>
  <c r="P13" i="91"/>
  <c r="Q5" i="66"/>
  <c r="Q26" i="65"/>
  <c r="Z5" i="89"/>
  <c r="AA5" i="89"/>
  <c r="Y5" i="89"/>
  <c r="Z17" i="89" s="1"/>
  <c r="AA17" i="89"/>
  <c r="Y17" i="89"/>
  <c r="AB17" i="89"/>
  <c r="Q17" i="89"/>
  <c r="N17" i="89"/>
  <c r="P17" i="89"/>
  <c r="O17" i="89"/>
  <c r="O5" i="89"/>
  <c r="X17" i="90"/>
  <c r="Y17" i="90"/>
  <c r="Z17" i="90"/>
  <c r="W17" i="90"/>
  <c r="T17" i="90"/>
  <c r="U17" i="90"/>
  <c r="V17" i="90"/>
  <c r="S17" i="90"/>
  <c r="N17" i="90"/>
  <c r="P17" i="90"/>
  <c r="Q17" i="90"/>
  <c r="O17" i="90"/>
  <c r="I5" i="90"/>
  <c r="I17" i="90"/>
  <c r="J17" i="90"/>
  <c r="K17" i="90"/>
  <c r="L17" i="90"/>
  <c r="M17" i="90"/>
  <c r="L38" i="59"/>
  <c r="M38" i="59"/>
  <c r="N38" i="59"/>
  <c r="K38" i="59"/>
  <c r="W26" i="81"/>
  <c r="W7" i="81"/>
  <c r="W17" i="81" s="1"/>
  <c r="W5" i="81"/>
  <c r="U26" i="81"/>
  <c r="U38" i="81" s="1"/>
  <c r="T26" i="81"/>
  <c r="T38" i="81" s="1"/>
  <c r="U8" i="81"/>
  <c r="T8" i="81"/>
  <c r="T17" i="81" s="1"/>
  <c r="U5" i="81"/>
  <c r="S38" i="81"/>
  <c r="R38" i="81"/>
  <c r="V17" i="81"/>
  <c r="S17" i="81"/>
  <c r="R17" i="81"/>
  <c r="W17" i="75"/>
  <c r="V17" i="75"/>
  <c r="U17" i="75"/>
  <c r="T17" i="75"/>
  <c r="M38" i="88"/>
  <c r="K38" i="88"/>
  <c r="J38" i="88"/>
  <c r="L26" i="88"/>
  <c r="L38" i="88" s="1"/>
  <c r="M17" i="88"/>
  <c r="K17" i="88"/>
  <c r="J17" i="88"/>
  <c r="L8" i="88"/>
  <c r="L5" i="88"/>
  <c r="L17" i="88" s="1"/>
  <c r="AK17" i="48" l="1"/>
  <c r="D17" i="48"/>
  <c r="E17" i="48"/>
  <c r="AF17" i="48"/>
  <c r="L17" i="48"/>
  <c r="AB17" i="48"/>
  <c r="Y17" i="48"/>
  <c r="X17" i="48"/>
  <c r="U17" i="48"/>
  <c r="H17" i="48"/>
  <c r="AG17" i="48"/>
  <c r="AN17" i="48"/>
  <c r="AJ17" i="48"/>
  <c r="Z17" i="75"/>
  <c r="R5" i="79"/>
  <c r="R17" i="79" s="1"/>
  <c r="AG17" i="79"/>
  <c r="AL17" i="79"/>
  <c r="W17" i="79"/>
  <c r="AB17" i="79"/>
  <c r="R5" i="72"/>
  <c r="U17" i="81"/>
  <c r="U21" i="81"/>
  <c r="L5" i="96"/>
  <c r="L6" i="96"/>
  <c r="L7" i="96"/>
  <c r="L8" i="96"/>
  <c r="L9" i="96"/>
  <c r="L10" i="96"/>
  <c r="L11" i="96"/>
  <c r="L12" i="96"/>
  <c r="L13" i="96"/>
  <c r="L14" i="96"/>
  <c r="L15" i="96"/>
  <c r="L16" i="96"/>
  <c r="B17" i="96"/>
  <c r="C17" i="96"/>
  <c r="D17" i="96"/>
  <c r="E17" i="96"/>
  <c r="F17" i="96"/>
  <c r="G17" i="96"/>
  <c r="J17" i="96"/>
  <c r="K17" i="96"/>
  <c r="M17" i="96"/>
  <c r="N17" i="96"/>
  <c r="O17" i="96"/>
  <c r="L26" i="96"/>
  <c r="L27" i="96"/>
  <c r="L28" i="96"/>
  <c r="L29" i="96"/>
  <c r="L30" i="96"/>
  <c r="L31" i="96"/>
  <c r="L32" i="96"/>
  <c r="L33" i="96"/>
  <c r="L34" i="96"/>
  <c r="L35" i="96"/>
  <c r="L36" i="96"/>
  <c r="L37" i="96"/>
  <c r="B38" i="96"/>
  <c r="C38" i="96"/>
  <c r="D38" i="96"/>
  <c r="E38" i="96"/>
  <c r="F38" i="96"/>
  <c r="G38" i="96"/>
  <c r="J38" i="96"/>
  <c r="K38" i="96"/>
  <c r="M38" i="96"/>
  <c r="N38" i="96"/>
  <c r="O38" i="96"/>
  <c r="R38" i="85"/>
  <c r="Q38" i="85"/>
  <c r="P38" i="85"/>
  <c r="O38" i="85"/>
  <c r="N38" i="85"/>
  <c r="L38" i="85"/>
  <c r="K38" i="85"/>
  <c r="M29" i="85"/>
  <c r="M26" i="85"/>
  <c r="M38" i="85" s="1"/>
  <c r="R17" i="85"/>
  <c r="Q17" i="85"/>
  <c r="P17" i="85"/>
  <c r="O17" i="85"/>
  <c r="N17" i="85"/>
  <c r="L17" i="85"/>
  <c r="K17" i="85"/>
  <c r="M8" i="85"/>
  <c r="M5" i="85"/>
  <c r="B17" i="95"/>
  <c r="C17" i="95"/>
  <c r="D17" i="95"/>
  <c r="E17" i="95"/>
  <c r="F17" i="95"/>
  <c r="G17" i="95"/>
  <c r="L17" i="95"/>
  <c r="N17" i="95"/>
  <c r="O17" i="95"/>
  <c r="B38" i="95"/>
  <c r="C38" i="95"/>
  <c r="D38" i="95"/>
  <c r="E38" i="95"/>
  <c r="F38" i="95"/>
  <c r="G38" i="95"/>
  <c r="L38" i="95"/>
  <c r="N38" i="95"/>
  <c r="O38" i="95"/>
  <c r="P38" i="86"/>
  <c r="O38" i="86"/>
  <c r="N38" i="86"/>
  <c r="L38" i="86"/>
  <c r="K38" i="86"/>
  <c r="M26" i="86"/>
  <c r="M38" i="86" s="1"/>
  <c r="P17" i="86"/>
  <c r="N17" i="86"/>
  <c r="K17" i="86"/>
  <c r="M17" i="86" s="1"/>
  <c r="P38" i="81"/>
  <c r="O38" i="81"/>
  <c r="N38" i="81"/>
  <c r="L38" i="81"/>
  <c r="K38" i="81"/>
  <c r="M26" i="81"/>
  <c r="M38" i="81" s="1"/>
  <c r="P17" i="81"/>
  <c r="N17" i="81"/>
  <c r="L17" i="81"/>
  <c r="K17" i="81"/>
  <c r="M5" i="81"/>
  <c r="M17" i="81" s="1"/>
  <c r="B17" i="94"/>
  <c r="C17" i="94"/>
  <c r="D17" i="94"/>
  <c r="E17" i="94"/>
  <c r="F17" i="94"/>
  <c r="G17" i="94"/>
  <c r="J17" i="94"/>
  <c r="K17" i="94"/>
  <c r="L17" i="94"/>
  <c r="M17" i="94"/>
  <c r="N17" i="94"/>
  <c r="O17" i="94"/>
  <c r="P17" i="94"/>
  <c r="Q17" i="94"/>
  <c r="B38" i="94"/>
  <c r="C38" i="94"/>
  <c r="D38" i="94"/>
  <c r="E38" i="94"/>
  <c r="F38" i="94"/>
  <c r="G38" i="94"/>
  <c r="J38" i="94"/>
  <c r="K38" i="94"/>
  <c r="L38" i="94"/>
  <c r="M38" i="94"/>
  <c r="N38" i="94"/>
  <c r="O38" i="94"/>
  <c r="P38" i="94"/>
  <c r="Q38" i="94"/>
  <c r="L5" i="93"/>
  <c r="L6" i="93"/>
  <c r="L7" i="93"/>
  <c r="L8" i="93"/>
  <c r="L9" i="93"/>
  <c r="L10" i="93"/>
  <c r="L11" i="93"/>
  <c r="L12" i="93"/>
  <c r="L13" i="93"/>
  <c r="L14" i="93"/>
  <c r="L15" i="93"/>
  <c r="L16" i="93"/>
  <c r="B17" i="93"/>
  <c r="C17" i="93"/>
  <c r="D17" i="93"/>
  <c r="E17" i="93"/>
  <c r="F17" i="93"/>
  <c r="G17" i="93"/>
  <c r="J17" i="93"/>
  <c r="K17" i="93"/>
  <c r="M17" i="93"/>
  <c r="N17" i="93"/>
  <c r="O17" i="93"/>
  <c r="L26" i="93"/>
  <c r="L27" i="93"/>
  <c r="L28" i="93"/>
  <c r="L29" i="93"/>
  <c r="L38" i="93" s="1"/>
  <c r="L30" i="93"/>
  <c r="L31" i="93"/>
  <c r="L32" i="93"/>
  <c r="L33" i="93"/>
  <c r="L34" i="93"/>
  <c r="L35" i="93"/>
  <c r="L36" i="93"/>
  <c r="L37" i="93"/>
  <c r="B38" i="93"/>
  <c r="C38" i="93"/>
  <c r="D38" i="93"/>
  <c r="E38" i="93"/>
  <c r="F38" i="93"/>
  <c r="G38" i="93"/>
  <c r="J38" i="93"/>
  <c r="K38" i="93"/>
  <c r="M38" i="93"/>
  <c r="N38" i="93"/>
  <c r="O38" i="93"/>
  <c r="B38" i="92"/>
  <c r="C38" i="92"/>
  <c r="D38" i="92"/>
  <c r="E38" i="92"/>
  <c r="F38" i="92"/>
  <c r="G38" i="92"/>
  <c r="L38" i="92"/>
  <c r="N38" i="92"/>
  <c r="O38" i="92"/>
  <c r="P5" i="91"/>
  <c r="T5" i="91"/>
  <c r="X5" i="91"/>
  <c r="P6" i="91"/>
  <c r="T6" i="91"/>
  <c r="X6" i="91"/>
  <c r="P7" i="91"/>
  <c r="T7" i="91"/>
  <c r="X7" i="91"/>
  <c r="P8" i="91"/>
  <c r="T8" i="91"/>
  <c r="X8" i="91"/>
  <c r="P9" i="91"/>
  <c r="T9" i="91"/>
  <c r="X9" i="91"/>
  <c r="P10" i="91"/>
  <c r="T10" i="91"/>
  <c r="X10" i="91"/>
  <c r="P11" i="91"/>
  <c r="T11" i="91"/>
  <c r="X11" i="91"/>
  <c r="P12" i="91"/>
  <c r="T12" i="91"/>
  <c r="X12" i="91"/>
  <c r="T13" i="91"/>
  <c r="X13" i="91"/>
  <c r="T14" i="91"/>
  <c r="X14" i="91"/>
  <c r="P15" i="91"/>
  <c r="T15" i="91"/>
  <c r="X15" i="91"/>
  <c r="P16" i="91"/>
  <c r="T16" i="91"/>
  <c r="X16" i="91"/>
  <c r="B17" i="91"/>
  <c r="C17" i="91"/>
  <c r="D17" i="91"/>
  <c r="E17" i="91"/>
  <c r="F17" i="91"/>
  <c r="G17" i="91"/>
  <c r="H17" i="91"/>
  <c r="I17" i="91"/>
  <c r="J17" i="91"/>
  <c r="K17" i="91"/>
  <c r="L17" i="91"/>
  <c r="M17" i="91"/>
  <c r="Q17" i="91"/>
  <c r="Y17" i="91"/>
  <c r="Z17" i="91"/>
  <c r="AB17" i="91"/>
  <c r="P26" i="91"/>
  <c r="T26" i="91"/>
  <c r="X26" i="91"/>
  <c r="AB26" i="91"/>
  <c r="AB38" i="91" s="1"/>
  <c r="P27" i="91"/>
  <c r="P28" i="91"/>
  <c r="P29" i="91"/>
  <c r="T29" i="91"/>
  <c r="P30" i="91"/>
  <c r="T30" i="91"/>
  <c r="X30" i="91"/>
  <c r="P31" i="91"/>
  <c r="T31" i="91"/>
  <c r="X31" i="91"/>
  <c r="P32" i="91"/>
  <c r="T32" i="91"/>
  <c r="X32" i="91"/>
  <c r="P33" i="91"/>
  <c r="T33" i="91"/>
  <c r="X33" i="91"/>
  <c r="P34" i="91"/>
  <c r="T34" i="91"/>
  <c r="X34" i="91"/>
  <c r="P35" i="91"/>
  <c r="T35" i="91"/>
  <c r="X35" i="91"/>
  <c r="P36" i="91"/>
  <c r="T36" i="91"/>
  <c r="X36" i="91"/>
  <c r="P37" i="91"/>
  <c r="T37" i="91"/>
  <c r="X37" i="91"/>
  <c r="B38" i="91"/>
  <c r="C38" i="91"/>
  <c r="D38" i="91"/>
  <c r="E38" i="91"/>
  <c r="F38" i="91"/>
  <c r="G38" i="91"/>
  <c r="H38" i="91"/>
  <c r="I38" i="91"/>
  <c r="J38" i="91"/>
  <c r="K38" i="91"/>
  <c r="L38" i="91"/>
  <c r="N38" i="91"/>
  <c r="O38" i="91"/>
  <c r="P38" i="91" s="1"/>
  <c r="Q38" i="91"/>
  <c r="T38" i="91"/>
  <c r="X38" i="91"/>
  <c r="Z38" i="91"/>
  <c r="X17" i="91" l="1"/>
  <c r="T17" i="91"/>
  <c r="L17" i="93"/>
  <c r="M17" i="85"/>
  <c r="L17" i="96"/>
  <c r="L38" i="96"/>
  <c r="B38" i="89" l="1"/>
  <c r="C38" i="89"/>
  <c r="D38" i="89"/>
  <c r="E38" i="89"/>
  <c r="F38" i="89"/>
  <c r="G38" i="89"/>
  <c r="E7" i="88"/>
  <c r="E8" i="88"/>
  <c r="E9" i="88"/>
  <c r="E14" i="88"/>
  <c r="E15" i="88"/>
  <c r="E16" i="88"/>
  <c r="E5" i="88"/>
  <c r="D6" i="88"/>
  <c r="E6" i="88" s="1"/>
  <c r="B17" i="88"/>
  <c r="C17" i="88"/>
  <c r="D17" i="88"/>
  <c r="F17" i="88"/>
  <c r="G17" i="88"/>
  <c r="N17" i="88"/>
  <c r="O17" i="88"/>
  <c r="P17" i="88"/>
  <c r="Q17" i="88"/>
  <c r="B38" i="88"/>
  <c r="C38" i="88"/>
  <c r="D38" i="88"/>
  <c r="E38" i="88"/>
  <c r="F38" i="88"/>
  <c r="G38" i="88"/>
  <c r="N38" i="88"/>
  <c r="O38" i="88"/>
  <c r="P38" i="88"/>
  <c r="Q38" i="88"/>
  <c r="E7" i="75"/>
  <c r="E8" i="75"/>
  <c r="E9" i="75"/>
  <c r="E10" i="75"/>
  <c r="E11" i="75"/>
  <c r="E12" i="75"/>
  <c r="E13" i="75"/>
  <c r="E14" i="75"/>
  <c r="E15" i="75"/>
  <c r="E16" i="75"/>
  <c r="E5" i="75"/>
  <c r="D6" i="75"/>
  <c r="E6" i="75" s="1"/>
  <c r="Q38" i="87"/>
  <c r="P38" i="87"/>
  <c r="O38" i="87"/>
  <c r="N38" i="87"/>
  <c r="M38" i="87"/>
  <c r="K38" i="87"/>
  <c r="J38" i="87"/>
  <c r="L29" i="87"/>
  <c r="L26" i="87"/>
  <c r="L38" i="87" s="1"/>
  <c r="Q17" i="87"/>
  <c r="P17" i="87"/>
  <c r="O17" i="87"/>
  <c r="N17" i="87"/>
  <c r="M17" i="87"/>
  <c r="L17" i="87"/>
  <c r="K17" i="87"/>
  <c r="J17" i="87"/>
  <c r="E17" i="88" l="1"/>
  <c r="C6" i="87" l="1"/>
  <c r="C7" i="87"/>
  <c r="C8" i="87"/>
  <c r="C9" i="87"/>
  <c r="C10" i="87"/>
  <c r="C11" i="87"/>
  <c r="C12" i="87"/>
  <c r="C13" i="87"/>
  <c r="C14" i="87"/>
  <c r="C15" i="87"/>
  <c r="C16" i="87"/>
  <c r="C5" i="87"/>
  <c r="E5" i="87"/>
  <c r="G5" i="87"/>
  <c r="B17" i="87"/>
  <c r="E6" i="87"/>
  <c r="G6" i="87"/>
  <c r="E7" i="87"/>
  <c r="G7" i="87"/>
  <c r="E8" i="87"/>
  <c r="G8" i="87"/>
  <c r="E9" i="87"/>
  <c r="G9" i="87"/>
  <c r="E10" i="87"/>
  <c r="G10" i="87"/>
  <c r="E11" i="87"/>
  <c r="G11" i="87"/>
  <c r="E12" i="87"/>
  <c r="G12" i="87"/>
  <c r="E13" i="87"/>
  <c r="G13" i="87"/>
  <c r="E14" i="87"/>
  <c r="G14" i="87"/>
  <c r="E15" i="87"/>
  <c r="G15" i="87"/>
  <c r="E16" i="87"/>
  <c r="G16" i="87"/>
  <c r="D17" i="87"/>
  <c r="F17" i="87"/>
  <c r="E26" i="87"/>
  <c r="G26" i="87"/>
  <c r="C26" i="87" s="1"/>
  <c r="E27" i="87"/>
  <c r="G27" i="87"/>
  <c r="E28" i="87"/>
  <c r="G28" i="87"/>
  <c r="C28" i="87" s="1"/>
  <c r="E29" i="87"/>
  <c r="G29" i="87"/>
  <c r="C29" i="87" s="1"/>
  <c r="E30" i="87"/>
  <c r="G30" i="87"/>
  <c r="E31" i="87"/>
  <c r="G31" i="87"/>
  <c r="E32" i="87"/>
  <c r="G32" i="87"/>
  <c r="C32" i="87" s="1"/>
  <c r="E33" i="87"/>
  <c r="G33" i="87"/>
  <c r="E34" i="87"/>
  <c r="G34" i="87"/>
  <c r="C34" i="87" s="1"/>
  <c r="E35" i="87"/>
  <c r="G35" i="87"/>
  <c r="C35" i="87" s="1"/>
  <c r="E36" i="87"/>
  <c r="G36" i="87"/>
  <c r="E37" i="87"/>
  <c r="G37" i="87"/>
  <c r="B38" i="87"/>
  <c r="D38" i="87"/>
  <c r="F38" i="87"/>
  <c r="H6" i="81"/>
  <c r="I6" i="81"/>
  <c r="H7" i="85"/>
  <c r="H5" i="85"/>
  <c r="I5" i="85"/>
  <c r="H5" i="86"/>
  <c r="I5" i="86"/>
  <c r="F38" i="86"/>
  <c r="D38" i="86"/>
  <c r="G37" i="86"/>
  <c r="E37" i="86"/>
  <c r="C37" i="86" s="1"/>
  <c r="B37" i="86"/>
  <c r="G36" i="86"/>
  <c r="E36" i="86"/>
  <c r="B36" i="86"/>
  <c r="G35" i="86"/>
  <c r="E35" i="86"/>
  <c r="C35" i="86" s="1"/>
  <c r="B35" i="86"/>
  <c r="G34" i="86"/>
  <c r="E34" i="86"/>
  <c r="C34" i="86" s="1"/>
  <c r="B34" i="86"/>
  <c r="G33" i="86"/>
  <c r="E33" i="86"/>
  <c r="C33" i="86" s="1"/>
  <c r="B33" i="86"/>
  <c r="G32" i="86"/>
  <c r="E32" i="86"/>
  <c r="B32" i="86"/>
  <c r="G31" i="86"/>
  <c r="E31" i="86"/>
  <c r="C31" i="86" s="1"/>
  <c r="B31" i="86"/>
  <c r="G30" i="86"/>
  <c r="E30" i="86"/>
  <c r="C30" i="86" s="1"/>
  <c r="B30" i="86"/>
  <c r="G29" i="86"/>
  <c r="E29" i="86"/>
  <c r="C29" i="86" s="1"/>
  <c r="B29" i="86"/>
  <c r="G28" i="86"/>
  <c r="E28" i="86"/>
  <c r="B28" i="86"/>
  <c r="G27" i="86"/>
  <c r="E27" i="86"/>
  <c r="C27" i="86" s="1"/>
  <c r="B27" i="86"/>
  <c r="G26" i="86"/>
  <c r="E26" i="86"/>
  <c r="B26" i="86"/>
  <c r="F17" i="86"/>
  <c r="D17" i="86"/>
  <c r="G16" i="86"/>
  <c r="E16" i="86"/>
  <c r="B16" i="86"/>
  <c r="G15" i="86"/>
  <c r="E15" i="86"/>
  <c r="B15" i="86"/>
  <c r="G14" i="86"/>
  <c r="E14" i="86"/>
  <c r="B14" i="86"/>
  <c r="G13" i="86"/>
  <c r="E13" i="86"/>
  <c r="B13" i="86"/>
  <c r="G12" i="86"/>
  <c r="E12" i="86"/>
  <c r="B12" i="86"/>
  <c r="G11" i="86"/>
  <c r="E11" i="86"/>
  <c r="B11" i="86"/>
  <c r="G10" i="86"/>
  <c r="E10" i="86"/>
  <c r="B10" i="86"/>
  <c r="G9" i="86"/>
  <c r="E9" i="86"/>
  <c r="B9" i="86"/>
  <c r="G8" i="86"/>
  <c r="C8" i="86" s="1"/>
  <c r="E8" i="86"/>
  <c r="B8" i="86"/>
  <c r="G7" i="86"/>
  <c r="E7" i="86"/>
  <c r="B7" i="86"/>
  <c r="G6" i="86"/>
  <c r="E6" i="86"/>
  <c r="B6" i="86"/>
  <c r="G5" i="86"/>
  <c r="E5" i="86"/>
  <c r="E17" i="86" s="1"/>
  <c r="B5" i="86"/>
  <c r="B17" i="86" s="1"/>
  <c r="B38" i="86" l="1"/>
  <c r="C5" i="86"/>
  <c r="G38" i="86"/>
  <c r="G38" i="87"/>
  <c r="C14" i="86"/>
  <c r="E38" i="87"/>
  <c r="E38" i="86"/>
  <c r="C11" i="86"/>
  <c r="C28" i="86"/>
  <c r="C32" i="86"/>
  <c r="C36" i="86"/>
  <c r="G17" i="87"/>
  <c r="C36" i="87"/>
  <c r="C30" i="87"/>
  <c r="G17" i="86"/>
  <c r="C26" i="86"/>
  <c r="C37" i="87"/>
  <c r="C31" i="87"/>
  <c r="C33" i="87"/>
  <c r="C27" i="87"/>
  <c r="C38" i="87" s="1"/>
  <c r="E17" i="87"/>
  <c r="C17" i="87"/>
  <c r="C6" i="86"/>
  <c r="C7" i="86"/>
  <c r="C9" i="86"/>
  <c r="C10" i="86"/>
  <c r="C12" i="86"/>
  <c r="C13" i="86"/>
  <c r="C15" i="86"/>
  <c r="C16" i="86"/>
  <c r="C38" i="86" l="1"/>
  <c r="C17" i="86"/>
  <c r="F38" i="85" l="1"/>
  <c r="D38" i="85"/>
  <c r="G37" i="85"/>
  <c r="E37" i="85"/>
  <c r="B37" i="85"/>
  <c r="G36" i="85"/>
  <c r="E36" i="85"/>
  <c r="B36" i="85"/>
  <c r="G35" i="85"/>
  <c r="E35" i="85"/>
  <c r="B35" i="85"/>
  <c r="G34" i="85"/>
  <c r="E34" i="85"/>
  <c r="B34" i="85"/>
  <c r="G33" i="85"/>
  <c r="E33" i="85"/>
  <c r="C33" i="85" s="1"/>
  <c r="B33" i="85"/>
  <c r="G32" i="85"/>
  <c r="E32" i="85"/>
  <c r="C32" i="85" s="1"/>
  <c r="B32" i="85"/>
  <c r="G31" i="85"/>
  <c r="E31" i="85"/>
  <c r="C31" i="85" s="1"/>
  <c r="B31" i="85"/>
  <c r="G30" i="85"/>
  <c r="E30" i="85"/>
  <c r="B30" i="85"/>
  <c r="G29" i="85"/>
  <c r="E29" i="85"/>
  <c r="B29" i="85"/>
  <c r="G28" i="85"/>
  <c r="E28" i="85"/>
  <c r="C28" i="85" s="1"/>
  <c r="B28" i="85"/>
  <c r="G27" i="85"/>
  <c r="E27" i="85"/>
  <c r="B27" i="85"/>
  <c r="G26" i="85"/>
  <c r="E26" i="85"/>
  <c r="B26" i="85"/>
  <c r="F17" i="85"/>
  <c r="D17" i="85"/>
  <c r="G16" i="85"/>
  <c r="E16" i="85"/>
  <c r="B16" i="85"/>
  <c r="G15" i="85"/>
  <c r="E15" i="85"/>
  <c r="B15" i="85"/>
  <c r="G14" i="85"/>
  <c r="E14" i="85"/>
  <c r="B14" i="85"/>
  <c r="G13" i="85"/>
  <c r="E13" i="85"/>
  <c r="C13" i="85" s="1"/>
  <c r="B13" i="85"/>
  <c r="G12" i="85"/>
  <c r="E12" i="85"/>
  <c r="B12" i="85"/>
  <c r="G11" i="85"/>
  <c r="E11" i="85"/>
  <c r="B11" i="85"/>
  <c r="G10" i="85"/>
  <c r="E10" i="85"/>
  <c r="B10" i="85"/>
  <c r="G9" i="85"/>
  <c r="E9" i="85"/>
  <c r="B9" i="85"/>
  <c r="G8" i="85"/>
  <c r="E8" i="85"/>
  <c r="B8" i="85"/>
  <c r="G7" i="85"/>
  <c r="E7" i="85"/>
  <c r="C7" i="85" s="1"/>
  <c r="B7" i="85"/>
  <c r="G6" i="85"/>
  <c r="E6" i="85"/>
  <c r="B6" i="85"/>
  <c r="G5" i="85"/>
  <c r="E5" i="85"/>
  <c r="B5" i="85"/>
  <c r="N57" i="84"/>
  <c r="M57" i="84"/>
  <c r="J57" i="84"/>
  <c r="F57" i="84"/>
  <c r="D57" i="84"/>
  <c r="B57" i="84" s="1"/>
  <c r="N56" i="84"/>
  <c r="M56" i="84"/>
  <c r="J56" i="84"/>
  <c r="F56" i="84"/>
  <c r="D56" i="84"/>
  <c r="E56" i="84" s="1"/>
  <c r="N55" i="84"/>
  <c r="M55" i="84"/>
  <c r="J55" i="84"/>
  <c r="F55" i="84"/>
  <c r="D55" i="84"/>
  <c r="E55" i="84" s="1"/>
  <c r="N54" i="84"/>
  <c r="M54" i="84"/>
  <c r="J54" i="84"/>
  <c r="F54" i="84"/>
  <c r="D54" i="84"/>
  <c r="N53" i="84"/>
  <c r="M53" i="84"/>
  <c r="J53" i="84"/>
  <c r="F53" i="84"/>
  <c r="D53" i="84"/>
  <c r="B53" i="84" s="1"/>
  <c r="N52" i="84"/>
  <c r="M52" i="84"/>
  <c r="J52" i="84"/>
  <c r="F52" i="84"/>
  <c r="D52" i="84"/>
  <c r="E52" i="84" s="1"/>
  <c r="C52" i="84" s="1"/>
  <c r="N51" i="84"/>
  <c r="M51" i="84"/>
  <c r="J51" i="84"/>
  <c r="F51" i="84"/>
  <c r="D51" i="84"/>
  <c r="B51" i="84" s="1"/>
  <c r="N50" i="84"/>
  <c r="M50" i="84"/>
  <c r="J50" i="84"/>
  <c r="F50" i="84"/>
  <c r="D50" i="84"/>
  <c r="E50" i="84" s="1"/>
  <c r="C50" i="84" s="1"/>
  <c r="N49" i="84"/>
  <c r="M49" i="84"/>
  <c r="J49" i="84"/>
  <c r="F49" i="84"/>
  <c r="D49" i="84"/>
  <c r="E49" i="84" s="1"/>
  <c r="N48" i="84"/>
  <c r="M48" i="84"/>
  <c r="J48" i="84"/>
  <c r="F48" i="84"/>
  <c r="D48" i="84"/>
  <c r="B48" i="84" s="1"/>
  <c r="N47" i="84"/>
  <c r="M47" i="84"/>
  <c r="J47" i="84"/>
  <c r="F47" i="84"/>
  <c r="D47" i="84"/>
  <c r="E47" i="84" s="1"/>
  <c r="N46" i="84"/>
  <c r="M46" i="84"/>
  <c r="J46" i="84"/>
  <c r="F46" i="84"/>
  <c r="D46" i="84"/>
  <c r="E46" i="84" s="1"/>
  <c r="N38" i="84"/>
  <c r="L38" i="84"/>
  <c r="F38" i="84"/>
  <c r="D38" i="84"/>
  <c r="L37" i="84"/>
  <c r="L36" i="84"/>
  <c r="L35" i="84"/>
  <c r="L34" i="84"/>
  <c r="L33" i="84"/>
  <c r="L32" i="84"/>
  <c r="L31" i="84"/>
  <c r="L30" i="84"/>
  <c r="L29" i="84"/>
  <c r="L28" i="84"/>
  <c r="L27" i="84"/>
  <c r="O38" i="84"/>
  <c r="L26" i="84"/>
  <c r="G38" i="84"/>
  <c r="E38" i="84"/>
  <c r="C38" i="84"/>
  <c r="B38" i="84"/>
  <c r="N17" i="84"/>
  <c r="L17" i="84"/>
  <c r="F17" i="84"/>
  <c r="D17" i="84"/>
  <c r="O57" i="84"/>
  <c r="L16" i="84"/>
  <c r="G57" i="84"/>
  <c r="O56" i="84"/>
  <c r="L15" i="84"/>
  <c r="G56" i="84"/>
  <c r="O55" i="84"/>
  <c r="L14" i="84"/>
  <c r="G55" i="84"/>
  <c r="O54" i="84"/>
  <c r="L13" i="84"/>
  <c r="G54" i="84"/>
  <c r="O53" i="84"/>
  <c r="L12" i="84"/>
  <c r="G53" i="84"/>
  <c r="O52" i="84"/>
  <c r="L11" i="84"/>
  <c r="G52" i="84"/>
  <c r="O51" i="84"/>
  <c r="L10" i="84"/>
  <c r="G51" i="84"/>
  <c r="O50" i="84"/>
  <c r="L9" i="84"/>
  <c r="G50" i="84"/>
  <c r="O49" i="84"/>
  <c r="L8" i="84"/>
  <c r="G49" i="84"/>
  <c r="O48" i="84"/>
  <c r="L7" i="84"/>
  <c r="G48" i="84"/>
  <c r="O47" i="84"/>
  <c r="L6" i="84"/>
  <c r="G47" i="84"/>
  <c r="O46" i="84"/>
  <c r="L5" i="84"/>
  <c r="G46" i="84"/>
  <c r="E17" i="84"/>
  <c r="B17" i="84"/>
  <c r="N17" i="66"/>
  <c r="L17" i="66"/>
  <c r="K17" i="66"/>
  <c r="L38" i="66"/>
  <c r="K38" i="66"/>
  <c r="H32" i="74"/>
  <c r="H38" i="74" s="1"/>
  <c r="I32" i="74"/>
  <c r="I38" i="74"/>
  <c r="I27" i="76"/>
  <c r="I38" i="76" s="1"/>
  <c r="H27" i="76"/>
  <c r="H38" i="76" s="1"/>
  <c r="I26" i="82"/>
  <c r="H37" i="82"/>
  <c r="H26" i="82"/>
  <c r="I26" i="66"/>
  <c r="I38" i="66" s="1"/>
  <c r="H26" i="66"/>
  <c r="H38" i="66" s="1"/>
  <c r="H27" i="59"/>
  <c r="I27" i="59"/>
  <c r="I38" i="59" s="1"/>
  <c r="H38" i="59"/>
  <c r="H37" i="59"/>
  <c r="I27" i="65"/>
  <c r="H27" i="65"/>
  <c r="J38" i="65"/>
  <c r="K38" i="65"/>
  <c r="L38" i="65"/>
  <c r="H38" i="65"/>
  <c r="I38" i="65"/>
  <c r="N29" i="82"/>
  <c r="N26" i="65"/>
  <c r="N26" i="59"/>
  <c r="N26" i="66"/>
  <c r="N26" i="76"/>
  <c r="S26" i="65"/>
  <c r="S26" i="76"/>
  <c r="S38" i="76" s="1"/>
  <c r="R26" i="82"/>
  <c r="S26" i="59"/>
  <c r="S38" i="59" s="1"/>
  <c r="Q26" i="76"/>
  <c r="R38" i="82"/>
  <c r="P26" i="82"/>
  <c r="S26" i="66"/>
  <c r="S38" i="66" s="1"/>
  <c r="Q26" i="66"/>
  <c r="Q38" i="66" s="1"/>
  <c r="Q26" i="59"/>
  <c r="Q26" i="74"/>
  <c r="R38" i="74"/>
  <c r="P38" i="74"/>
  <c r="S26" i="74"/>
  <c r="S38" i="74" s="1"/>
  <c r="R17" i="74"/>
  <c r="P17" i="74"/>
  <c r="S17" i="74"/>
  <c r="Q5" i="74"/>
  <c r="Q17" i="74" s="1"/>
  <c r="R17" i="65"/>
  <c r="P17" i="65"/>
  <c r="S5" i="65"/>
  <c r="S17" i="65" s="1"/>
  <c r="Q5" i="65"/>
  <c r="Q17" i="65" s="1"/>
  <c r="R38" i="76"/>
  <c r="P38" i="76"/>
  <c r="S37" i="76"/>
  <c r="Q37" i="76"/>
  <c r="S36" i="76"/>
  <c r="Q36" i="76"/>
  <c r="S35" i="76"/>
  <c r="Q35" i="76"/>
  <c r="S34" i="76"/>
  <c r="Q34" i="76"/>
  <c r="S33" i="76"/>
  <c r="Q33" i="76"/>
  <c r="S32" i="76"/>
  <c r="Q32" i="76"/>
  <c r="S31" i="76"/>
  <c r="Q31" i="76"/>
  <c r="S30" i="76"/>
  <c r="Q30" i="76"/>
  <c r="S17" i="76"/>
  <c r="R17" i="76"/>
  <c r="P17" i="76"/>
  <c r="S5" i="76"/>
  <c r="Q5" i="76"/>
  <c r="Q17" i="76" s="1"/>
  <c r="R38" i="66"/>
  <c r="P38" i="66"/>
  <c r="R17" i="66"/>
  <c r="P17" i="66"/>
  <c r="S17" i="66"/>
  <c r="Q17" i="66"/>
  <c r="R5" i="82"/>
  <c r="R17" i="82" s="1"/>
  <c r="S5" i="59"/>
  <c r="Q5" i="59"/>
  <c r="P5" i="82"/>
  <c r="Q17" i="82"/>
  <c r="P17" i="82"/>
  <c r="O17" i="82"/>
  <c r="Q38" i="82"/>
  <c r="K17" i="59"/>
  <c r="L17" i="59"/>
  <c r="N17" i="59"/>
  <c r="O17" i="59"/>
  <c r="P17" i="59"/>
  <c r="Q17" i="59"/>
  <c r="R17" i="59"/>
  <c r="S17" i="59"/>
  <c r="M8" i="59"/>
  <c r="J17" i="59"/>
  <c r="R38" i="59"/>
  <c r="R38" i="65"/>
  <c r="S37" i="65"/>
  <c r="S36" i="65"/>
  <c r="S35" i="65"/>
  <c r="S34" i="65"/>
  <c r="S33" i="65"/>
  <c r="S32" i="65"/>
  <c r="S31" i="65"/>
  <c r="S30" i="65"/>
  <c r="S38" i="65" s="1"/>
  <c r="B47" i="84" l="1"/>
  <c r="B50" i="84"/>
  <c r="C35" i="85"/>
  <c r="Q38" i="76"/>
  <c r="B55" i="84"/>
  <c r="C36" i="85"/>
  <c r="J58" i="84"/>
  <c r="M58" i="84"/>
  <c r="C37" i="85"/>
  <c r="N58" i="84"/>
  <c r="B56" i="84"/>
  <c r="C26" i="85"/>
  <c r="C30" i="85"/>
  <c r="C10" i="85"/>
  <c r="C16" i="85"/>
  <c r="C29" i="85"/>
  <c r="C8" i="85"/>
  <c r="C14" i="85"/>
  <c r="B38" i="85"/>
  <c r="C27" i="85"/>
  <c r="C12" i="85"/>
  <c r="G38" i="85"/>
  <c r="C34" i="85"/>
  <c r="C49" i="84"/>
  <c r="C47" i="84"/>
  <c r="B54" i="84"/>
  <c r="C56" i="84"/>
  <c r="E53" i="84"/>
  <c r="C53" i="84" s="1"/>
  <c r="B52" i="84"/>
  <c r="B49" i="84"/>
  <c r="B46" i="84"/>
  <c r="C6" i="85"/>
  <c r="C11" i="85"/>
  <c r="C9" i="85"/>
  <c r="C15" i="85"/>
  <c r="E38" i="85"/>
  <c r="B17" i="85"/>
  <c r="E17" i="85"/>
  <c r="G17" i="85"/>
  <c r="C5" i="85"/>
  <c r="O58" i="84"/>
  <c r="C46" i="84"/>
  <c r="G58" i="84"/>
  <c r="C55" i="84"/>
  <c r="F58" i="84"/>
  <c r="G17" i="84"/>
  <c r="E48" i="84"/>
  <c r="C48" i="84" s="1"/>
  <c r="E51" i="84"/>
  <c r="C51" i="84" s="1"/>
  <c r="E54" i="84"/>
  <c r="C54" i="84" s="1"/>
  <c r="E57" i="84"/>
  <c r="C57" i="84" s="1"/>
  <c r="C17" i="84"/>
  <c r="O17" i="84"/>
  <c r="D58" i="84"/>
  <c r="Q38" i="74"/>
  <c r="I6" i="65"/>
  <c r="H6" i="65"/>
  <c r="H17" i="65" s="1"/>
  <c r="H5" i="82"/>
  <c r="H17" i="82" s="1"/>
  <c r="I5" i="82"/>
  <c r="I17" i="82" s="1"/>
  <c r="H5" i="66"/>
  <c r="H17" i="66" s="1"/>
  <c r="I5" i="66"/>
  <c r="I17" i="66" s="1"/>
  <c r="K17" i="74"/>
  <c r="L17" i="74"/>
  <c r="N17" i="74"/>
  <c r="H11" i="74"/>
  <c r="H17" i="74" s="1"/>
  <c r="I11" i="74"/>
  <c r="I17" i="74" s="1"/>
  <c r="K17" i="76"/>
  <c r="L17" i="76"/>
  <c r="N17" i="76"/>
  <c r="H6" i="76"/>
  <c r="H17" i="76" s="1"/>
  <c r="I6" i="76"/>
  <c r="I17" i="76" s="1"/>
  <c r="I17" i="65"/>
  <c r="K17" i="65"/>
  <c r="L17" i="65"/>
  <c r="N17" i="65"/>
  <c r="K17" i="82"/>
  <c r="L17" i="82"/>
  <c r="N17" i="82"/>
  <c r="I6" i="59"/>
  <c r="I17" i="59" s="1"/>
  <c r="H6" i="59"/>
  <c r="H17" i="59" s="1"/>
  <c r="N29" i="59"/>
  <c r="M29" i="59"/>
  <c r="M26" i="59"/>
  <c r="N29" i="66"/>
  <c r="N38" i="66" s="1"/>
  <c r="M29" i="66"/>
  <c r="N36" i="74"/>
  <c r="C38" i="85" l="1"/>
  <c r="B58" i="84"/>
  <c r="C17" i="85"/>
  <c r="C58" i="84"/>
  <c r="E58" i="84"/>
  <c r="M26" i="74"/>
  <c r="N29" i="65"/>
  <c r="N38" i="65" s="1"/>
  <c r="M29" i="65"/>
  <c r="M26" i="65"/>
  <c r="N29" i="76"/>
  <c r="N37" i="82"/>
  <c r="N28" i="82"/>
  <c r="O38" i="82"/>
  <c r="M38" i="82"/>
  <c r="F38" i="82"/>
  <c r="D38" i="82"/>
  <c r="M37" i="82"/>
  <c r="G37" i="82"/>
  <c r="E37" i="82"/>
  <c r="B37" i="82"/>
  <c r="M36" i="82"/>
  <c r="G36" i="82"/>
  <c r="E36" i="82"/>
  <c r="B36" i="82"/>
  <c r="M35" i="82"/>
  <c r="G35" i="82"/>
  <c r="E35" i="82"/>
  <c r="C35" i="82" s="1"/>
  <c r="B35" i="82"/>
  <c r="M34" i="82"/>
  <c r="G34" i="82"/>
  <c r="E34" i="82"/>
  <c r="C34" i="82" s="1"/>
  <c r="B34" i="82"/>
  <c r="M33" i="82"/>
  <c r="G33" i="82"/>
  <c r="E33" i="82"/>
  <c r="B33" i="82"/>
  <c r="M32" i="82"/>
  <c r="G32" i="82"/>
  <c r="E32" i="82"/>
  <c r="B32" i="82"/>
  <c r="M31" i="82"/>
  <c r="G31" i="82"/>
  <c r="E31" i="82"/>
  <c r="B31" i="82"/>
  <c r="M30" i="82"/>
  <c r="G30" i="82"/>
  <c r="E30" i="82"/>
  <c r="B30" i="82"/>
  <c r="M29" i="82"/>
  <c r="G29" i="82"/>
  <c r="E29" i="82"/>
  <c r="C29" i="82" s="1"/>
  <c r="B29" i="82"/>
  <c r="M28" i="82"/>
  <c r="G28" i="82"/>
  <c r="E28" i="82"/>
  <c r="C28" i="82" s="1"/>
  <c r="B28" i="82"/>
  <c r="M27" i="82"/>
  <c r="G27" i="82"/>
  <c r="E27" i="82"/>
  <c r="B27" i="82"/>
  <c r="M26" i="82"/>
  <c r="G26" i="82"/>
  <c r="E26" i="82"/>
  <c r="B26" i="82"/>
  <c r="F17" i="82"/>
  <c r="D17" i="82"/>
  <c r="M16" i="82"/>
  <c r="G16" i="82"/>
  <c r="E16" i="82"/>
  <c r="C16" i="82" s="1"/>
  <c r="M15" i="82"/>
  <c r="G15" i="82"/>
  <c r="E15" i="82"/>
  <c r="M14" i="82"/>
  <c r="G14" i="82"/>
  <c r="E14" i="82"/>
  <c r="C14" i="82" s="1"/>
  <c r="M13" i="82"/>
  <c r="G13" i="82"/>
  <c r="E13" i="82"/>
  <c r="C13" i="82" s="1"/>
  <c r="M12" i="82"/>
  <c r="G12" i="82"/>
  <c r="E12" i="82"/>
  <c r="M11" i="82"/>
  <c r="G11" i="82"/>
  <c r="E11" i="82"/>
  <c r="C11" i="82" s="1"/>
  <c r="M10" i="82"/>
  <c r="G10" i="82"/>
  <c r="E10" i="82"/>
  <c r="C10" i="82" s="1"/>
  <c r="M9" i="82"/>
  <c r="G9" i="82"/>
  <c r="E9" i="82"/>
  <c r="M8" i="82"/>
  <c r="G8" i="82"/>
  <c r="E8" i="82"/>
  <c r="C8" i="82" s="1"/>
  <c r="M7" i="82"/>
  <c r="G7" i="82"/>
  <c r="E7" i="82"/>
  <c r="C7" i="82" s="1"/>
  <c r="M6" i="82"/>
  <c r="G6" i="82"/>
  <c r="E6" i="82"/>
  <c r="M5" i="82"/>
  <c r="G5" i="82"/>
  <c r="E5" i="82"/>
  <c r="B17" i="82"/>
  <c r="F38" i="81"/>
  <c r="D38" i="81"/>
  <c r="G37" i="81"/>
  <c r="E37" i="81"/>
  <c r="B37" i="81"/>
  <c r="G36" i="81"/>
  <c r="E36" i="81"/>
  <c r="B36" i="81"/>
  <c r="G35" i="81"/>
  <c r="E35" i="81"/>
  <c r="B35" i="81"/>
  <c r="G34" i="81"/>
  <c r="E34" i="81"/>
  <c r="B34" i="81"/>
  <c r="G33" i="81"/>
  <c r="E33" i="81"/>
  <c r="B33" i="81"/>
  <c r="G32" i="81"/>
  <c r="E32" i="81"/>
  <c r="B32" i="81"/>
  <c r="G31" i="81"/>
  <c r="E31" i="81"/>
  <c r="B31" i="81"/>
  <c r="G30" i="81"/>
  <c r="E30" i="81"/>
  <c r="B30" i="81"/>
  <c r="G29" i="81"/>
  <c r="E29" i="81"/>
  <c r="C29" i="81" s="1"/>
  <c r="B29" i="81"/>
  <c r="G28" i="81"/>
  <c r="E28" i="81"/>
  <c r="B28" i="81"/>
  <c r="G27" i="81"/>
  <c r="E27" i="81"/>
  <c r="B27" i="81"/>
  <c r="G26" i="81"/>
  <c r="E26" i="81"/>
  <c r="B26" i="81"/>
  <c r="F17" i="81"/>
  <c r="D17" i="81"/>
  <c r="G16" i="81"/>
  <c r="E16" i="81"/>
  <c r="B16" i="81"/>
  <c r="G15" i="81"/>
  <c r="E15" i="81"/>
  <c r="B15" i="81"/>
  <c r="G14" i="81"/>
  <c r="E14" i="81"/>
  <c r="B14" i="81"/>
  <c r="G13" i="81"/>
  <c r="E13" i="81"/>
  <c r="B13" i="81"/>
  <c r="G12" i="81"/>
  <c r="E12" i="81"/>
  <c r="B12" i="81"/>
  <c r="G11" i="81"/>
  <c r="E11" i="81"/>
  <c r="B11" i="81"/>
  <c r="G10" i="81"/>
  <c r="E10" i="81"/>
  <c r="B10" i="81"/>
  <c r="G9" i="81"/>
  <c r="E9" i="81"/>
  <c r="B9" i="81"/>
  <c r="G8" i="81"/>
  <c r="E8" i="81"/>
  <c r="B8" i="81"/>
  <c r="G7" i="81"/>
  <c r="E7" i="81"/>
  <c r="B7" i="81"/>
  <c r="G6" i="81"/>
  <c r="E6" i="81"/>
  <c r="B6" i="81"/>
  <c r="G5" i="81"/>
  <c r="E5" i="81"/>
  <c r="B5" i="81"/>
  <c r="O38" i="79"/>
  <c r="L38" i="79"/>
  <c r="F38" i="79"/>
  <c r="D38" i="79"/>
  <c r="P37" i="79"/>
  <c r="L37" i="79"/>
  <c r="G37" i="79"/>
  <c r="E37" i="79"/>
  <c r="B37" i="79"/>
  <c r="P36" i="79"/>
  <c r="L36" i="79"/>
  <c r="G36" i="79"/>
  <c r="E36" i="79"/>
  <c r="C36" i="79" s="1"/>
  <c r="B36" i="79"/>
  <c r="P35" i="79"/>
  <c r="L35" i="79"/>
  <c r="G35" i="79"/>
  <c r="E35" i="79"/>
  <c r="B35" i="79"/>
  <c r="P34" i="79"/>
  <c r="L34" i="79"/>
  <c r="G34" i="79"/>
  <c r="E34" i="79"/>
  <c r="B34" i="79"/>
  <c r="P33" i="79"/>
  <c r="L33" i="79"/>
  <c r="G33" i="79"/>
  <c r="E33" i="79"/>
  <c r="B33" i="79"/>
  <c r="P32" i="79"/>
  <c r="L32" i="79"/>
  <c r="G32" i="79"/>
  <c r="E32" i="79"/>
  <c r="B32" i="79"/>
  <c r="P31" i="79"/>
  <c r="L31" i="79"/>
  <c r="G31" i="79"/>
  <c r="E31" i="79"/>
  <c r="B31" i="79"/>
  <c r="P30" i="79"/>
  <c r="L30" i="79"/>
  <c r="G30" i="79"/>
  <c r="E30" i="79"/>
  <c r="B30" i="79"/>
  <c r="P29" i="79"/>
  <c r="L29" i="79"/>
  <c r="G29" i="79"/>
  <c r="E29" i="79"/>
  <c r="B29" i="79"/>
  <c r="P28" i="79"/>
  <c r="L28" i="79"/>
  <c r="G28" i="79"/>
  <c r="E28" i="79"/>
  <c r="B28" i="79"/>
  <c r="P27" i="79"/>
  <c r="L27" i="79"/>
  <c r="G27" i="79"/>
  <c r="E27" i="79"/>
  <c r="B27" i="79"/>
  <c r="P26" i="79"/>
  <c r="L26" i="79"/>
  <c r="G26" i="79"/>
  <c r="E26" i="79"/>
  <c r="B26" i="79"/>
  <c r="F17" i="79"/>
  <c r="D17" i="79"/>
  <c r="L16" i="79"/>
  <c r="G16" i="79"/>
  <c r="E16" i="79"/>
  <c r="L15" i="79"/>
  <c r="G15" i="79"/>
  <c r="E15" i="79"/>
  <c r="L14" i="79"/>
  <c r="G14" i="79"/>
  <c r="E14" i="79"/>
  <c r="L13" i="79"/>
  <c r="G13" i="79"/>
  <c r="E13" i="79"/>
  <c r="L12" i="79"/>
  <c r="G12" i="79"/>
  <c r="E12" i="79"/>
  <c r="L11" i="79"/>
  <c r="G11" i="79"/>
  <c r="E11" i="79"/>
  <c r="L10" i="79"/>
  <c r="G10" i="79"/>
  <c r="E10" i="79"/>
  <c r="L9" i="79"/>
  <c r="G9" i="79"/>
  <c r="E9" i="79"/>
  <c r="G8" i="79"/>
  <c r="E8" i="79"/>
  <c r="L7" i="79"/>
  <c r="G7" i="79"/>
  <c r="E7" i="79"/>
  <c r="L6" i="79"/>
  <c r="G6" i="79"/>
  <c r="E6" i="79"/>
  <c r="L5" i="79"/>
  <c r="G5" i="79"/>
  <c r="E5" i="79"/>
  <c r="F38" i="76"/>
  <c r="D38" i="76"/>
  <c r="G37" i="76"/>
  <c r="E37" i="76"/>
  <c r="B37" i="76"/>
  <c r="G36" i="76"/>
  <c r="E36" i="76"/>
  <c r="C36" i="76" s="1"/>
  <c r="B36" i="76"/>
  <c r="G35" i="76"/>
  <c r="E35" i="76"/>
  <c r="B35" i="76"/>
  <c r="G34" i="76"/>
  <c r="E34" i="76"/>
  <c r="C34" i="76" s="1"/>
  <c r="B34" i="76"/>
  <c r="G33" i="76"/>
  <c r="E33" i="76"/>
  <c r="B33" i="76"/>
  <c r="G32" i="76"/>
  <c r="E32" i="76"/>
  <c r="B32" i="76"/>
  <c r="G31" i="76"/>
  <c r="E31" i="76"/>
  <c r="B31" i="76"/>
  <c r="G30" i="76"/>
  <c r="E30" i="76"/>
  <c r="B30" i="76"/>
  <c r="M29" i="76"/>
  <c r="G29" i="76"/>
  <c r="E29" i="76"/>
  <c r="B29" i="76"/>
  <c r="G28" i="76"/>
  <c r="E28" i="76"/>
  <c r="B28" i="76"/>
  <c r="G27" i="76"/>
  <c r="E27" i="76"/>
  <c r="C27" i="76" s="1"/>
  <c r="B27" i="76"/>
  <c r="M26" i="76"/>
  <c r="G26" i="76"/>
  <c r="E26" i="76"/>
  <c r="B26" i="76"/>
  <c r="F17" i="76"/>
  <c r="D17" i="76"/>
  <c r="G16" i="76"/>
  <c r="E16" i="76"/>
  <c r="B16" i="76"/>
  <c r="G15" i="76"/>
  <c r="E15" i="76"/>
  <c r="B15" i="76"/>
  <c r="G14" i="76"/>
  <c r="E14" i="76"/>
  <c r="B14" i="76"/>
  <c r="G13" i="76"/>
  <c r="E13" i="76"/>
  <c r="B13" i="76"/>
  <c r="G12" i="76"/>
  <c r="E12" i="76"/>
  <c r="C12" i="76" s="1"/>
  <c r="B12" i="76"/>
  <c r="G11" i="76"/>
  <c r="E11" i="76"/>
  <c r="B11" i="76"/>
  <c r="G10" i="76"/>
  <c r="E10" i="76"/>
  <c r="B10" i="76"/>
  <c r="G9" i="76"/>
  <c r="E9" i="76"/>
  <c r="C9" i="76" s="1"/>
  <c r="B9" i="76"/>
  <c r="M8" i="76"/>
  <c r="G8" i="76"/>
  <c r="E8" i="76"/>
  <c r="B8" i="76"/>
  <c r="G7" i="76"/>
  <c r="E7" i="76"/>
  <c r="B7" i="76"/>
  <c r="G6" i="76"/>
  <c r="E6" i="76"/>
  <c r="B6" i="76"/>
  <c r="M5" i="76"/>
  <c r="M17" i="76" s="1"/>
  <c r="G5" i="76"/>
  <c r="E5" i="76"/>
  <c r="B5" i="76"/>
  <c r="L38" i="75"/>
  <c r="F38" i="75"/>
  <c r="D38" i="75"/>
  <c r="L37" i="75"/>
  <c r="G37" i="75"/>
  <c r="E37" i="75"/>
  <c r="B37" i="75"/>
  <c r="L36" i="75"/>
  <c r="G36" i="75"/>
  <c r="E36" i="75"/>
  <c r="C36" i="75" s="1"/>
  <c r="B36" i="75"/>
  <c r="L35" i="75"/>
  <c r="G35" i="75"/>
  <c r="E35" i="75"/>
  <c r="C35" i="75" s="1"/>
  <c r="B35" i="75"/>
  <c r="L34" i="75"/>
  <c r="G34" i="75"/>
  <c r="C34" i="75" s="1"/>
  <c r="E34" i="75"/>
  <c r="B34" i="75"/>
  <c r="L33" i="75"/>
  <c r="G33" i="75"/>
  <c r="E33" i="75"/>
  <c r="C33" i="75" s="1"/>
  <c r="B33" i="75"/>
  <c r="L32" i="75"/>
  <c r="G32" i="75"/>
  <c r="E32" i="75"/>
  <c r="C32" i="75" s="1"/>
  <c r="B32" i="75"/>
  <c r="L31" i="75"/>
  <c r="G31" i="75"/>
  <c r="E31" i="75"/>
  <c r="B31" i="75"/>
  <c r="L30" i="75"/>
  <c r="G30" i="75"/>
  <c r="E30" i="75"/>
  <c r="C30" i="75"/>
  <c r="B30" i="75"/>
  <c r="L29" i="75"/>
  <c r="G29" i="75"/>
  <c r="E29" i="75"/>
  <c r="B29" i="75"/>
  <c r="L28" i="75"/>
  <c r="G28" i="75"/>
  <c r="E28" i="75"/>
  <c r="C28" i="75" s="1"/>
  <c r="B28" i="75"/>
  <c r="L27" i="75"/>
  <c r="G27" i="75"/>
  <c r="E27" i="75"/>
  <c r="B27" i="75"/>
  <c r="L26" i="75"/>
  <c r="G26" i="75"/>
  <c r="E26" i="75"/>
  <c r="C26" i="75" s="1"/>
  <c r="B26" i="75"/>
  <c r="F17" i="75"/>
  <c r="D17" i="75"/>
  <c r="L16" i="75"/>
  <c r="G16" i="75"/>
  <c r="L15" i="75"/>
  <c r="G15" i="75"/>
  <c r="L14" i="75"/>
  <c r="G14" i="75"/>
  <c r="L13" i="75"/>
  <c r="G13" i="75"/>
  <c r="L12" i="75"/>
  <c r="G12" i="75"/>
  <c r="L11" i="75"/>
  <c r="G11" i="75"/>
  <c r="L10" i="75"/>
  <c r="G10" i="75"/>
  <c r="L9" i="75"/>
  <c r="G9" i="75"/>
  <c r="L8" i="75"/>
  <c r="G8" i="75"/>
  <c r="L7" i="75"/>
  <c r="G7" i="75"/>
  <c r="L6" i="75"/>
  <c r="G6" i="75"/>
  <c r="L5" i="75"/>
  <c r="G5" i="75"/>
  <c r="F38" i="74"/>
  <c r="D38" i="74"/>
  <c r="G37" i="74"/>
  <c r="E37" i="74"/>
  <c r="B37" i="74"/>
  <c r="M36" i="74"/>
  <c r="G36" i="74"/>
  <c r="E36" i="74"/>
  <c r="B36" i="74"/>
  <c r="G35" i="74"/>
  <c r="E35" i="74"/>
  <c r="B35" i="74"/>
  <c r="G34" i="74"/>
  <c r="E34" i="74"/>
  <c r="C34" i="74" s="1"/>
  <c r="B34" i="74"/>
  <c r="G33" i="74"/>
  <c r="E33" i="74"/>
  <c r="C33" i="74" s="1"/>
  <c r="B33" i="74"/>
  <c r="G32" i="74"/>
  <c r="E32" i="74"/>
  <c r="B32" i="74"/>
  <c r="G31" i="74"/>
  <c r="E31" i="74"/>
  <c r="C31" i="74" s="1"/>
  <c r="B31" i="74"/>
  <c r="G30" i="74"/>
  <c r="E30" i="74"/>
  <c r="C30" i="74" s="1"/>
  <c r="B30" i="74"/>
  <c r="G29" i="74"/>
  <c r="E29" i="74"/>
  <c r="B29" i="74"/>
  <c r="G28" i="74"/>
  <c r="E28" i="74"/>
  <c r="B28" i="74"/>
  <c r="G27" i="74"/>
  <c r="E27" i="74"/>
  <c r="B27" i="74"/>
  <c r="G26" i="74"/>
  <c r="E26" i="74"/>
  <c r="C26" i="74" s="1"/>
  <c r="B26" i="74"/>
  <c r="F17" i="74"/>
  <c r="G16" i="74"/>
  <c r="E16" i="74"/>
  <c r="B16" i="74"/>
  <c r="G15" i="74"/>
  <c r="E15" i="74"/>
  <c r="C15" i="74" s="1"/>
  <c r="B15" i="74"/>
  <c r="M14" i="74"/>
  <c r="G14" i="74"/>
  <c r="E14" i="74"/>
  <c r="B14" i="74"/>
  <c r="G13" i="74"/>
  <c r="E13" i="74"/>
  <c r="B13" i="74"/>
  <c r="G12" i="74"/>
  <c r="E12" i="74"/>
  <c r="B12" i="74"/>
  <c r="G11" i="74"/>
  <c r="E11" i="74"/>
  <c r="B11" i="74"/>
  <c r="G10" i="74"/>
  <c r="E10" i="74"/>
  <c r="B10" i="74"/>
  <c r="G9" i="74"/>
  <c r="E9" i="74"/>
  <c r="B9" i="74"/>
  <c r="G8" i="74"/>
  <c r="E8" i="74"/>
  <c r="B8" i="74"/>
  <c r="G7" i="74"/>
  <c r="E7" i="74"/>
  <c r="B7" i="74"/>
  <c r="G6" i="74"/>
  <c r="E6" i="74"/>
  <c r="B6" i="74"/>
  <c r="M5" i="74"/>
  <c r="G5" i="74"/>
  <c r="E5" i="74"/>
  <c r="B5" i="74"/>
  <c r="O38" i="72"/>
  <c r="L38" i="72"/>
  <c r="F38" i="72"/>
  <c r="D38" i="72"/>
  <c r="P37" i="72"/>
  <c r="L37" i="72"/>
  <c r="G37" i="72"/>
  <c r="E37" i="72"/>
  <c r="B37" i="72"/>
  <c r="P36" i="72"/>
  <c r="L36" i="72"/>
  <c r="G36" i="72"/>
  <c r="E36" i="72"/>
  <c r="B36" i="72"/>
  <c r="P35" i="72"/>
  <c r="L35" i="72"/>
  <c r="G35" i="72"/>
  <c r="E35" i="72"/>
  <c r="B35" i="72"/>
  <c r="P34" i="72"/>
  <c r="L34" i="72"/>
  <c r="G34" i="72"/>
  <c r="E34" i="72"/>
  <c r="B34" i="72"/>
  <c r="P33" i="72"/>
  <c r="L33" i="72"/>
  <c r="G33" i="72"/>
  <c r="E33" i="72"/>
  <c r="C33" i="72" s="1"/>
  <c r="B33" i="72"/>
  <c r="P32" i="72"/>
  <c r="L32" i="72"/>
  <c r="G32" i="72"/>
  <c r="E32" i="72"/>
  <c r="B32" i="72"/>
  <c r="P31" i="72"/>
  <c r="L31" i="72"/>
  <c r="G31" i="72"/>
  <c r="E31" i="72"/>
  <c r="C31" i="72" s="1"/>
  <c r="B31" i="72"/>
  <c r="P30" i="72"/>
  <c r="L30" i="72"/>
  <c r="G30" i="72"/>
  <c r="E30" i="72"/>
  <c r="B30" i="72"/>
  <c r="P29" i="72"/>
  <c r="L29" i="72"/>
  <c r="G29" i="72"/>
  <c r="E29" i="72"/>
  <c r="C29" i="72" s="1"/>
  <c r="B29" i="72"/>
  <c r="P28" i="72"/>
  <c r="L28" i="72"/>
  <c r="G28" i="72"/>
  <c r="E28" i="72"/>
  <c r="B28" i="72"/>
  <c r="P27" i="72"/>
  <c r="L27" i="72"/>
  <c r="G27" i="72"/>
  <c r="E27" i="72"/>
  <c r="B27" i="72"/>
  <c r="P26" i="72"/>
  <c r="L26" i="72"/>
  <c r="G26" i="72"/>
  <c r="E26" i="72"/>
  <c r="B26" i="72"/>
  <c r="L17" i="72"/>
  <c r="F17" i="72"/>
  <c r="D17" i="72"/>
  <c r="L16" i="72"/>
  <c r="G16" i="72"/>
  <c r="E16" i="72"/>
  <c r="C16" i="72" s="1"/>
  <c r="B16" i="72"/>
  <c r="L15" i="72"/>
  <c r="G15" i="72"/>
  <c r="E15" i="72"/>
  <c r="B15" i="72"/>
  <c r="L14" i="72"/>
  <c r="G14" i="72"/>
  <c r="E14" i="72"/>
  <c r="C14" i="72" s="1"/>
  <c r="B14" i="72"/>
  <c r="L13" i="72"/>
  <c r="G13" i="72"/>
  <c r="E13" i="72"/>
  <c r="B13" i="72"/>
  <c r="L12" i="72"/>
  <c r="G12" i="72"/>
  <c r="E12" i="72"/>
  <c r="B12" i="72"/>
  <c r="L11" i="72"/>
  <c r="G11" i="72"/>
  <c r="E11" i="72"/>
  <c r="B11" i="72"/>
  <c r="L10" i="72"/>
  <c r="G10" i="72"/>
  <c r="E10" i="72"/>
  <c r="B10" i="72"/>
  <c r="L9" i="72"/>
  <c r="G9" i="72"/>
  <c r="E9" i="72"/>
  <c r="B9" i="72"/>
  <c r="L8" i="72"/>
  <c r="G8" i="72"/>
  <c r="E8" i="72"/>
  <c r="B8" i="72"/>
  <c r="L7" i="72"/>
  <c r="G7" i="72"/>
  <c r="E7" i="72"/>
  <c r="B7" i="72"/>
  <c r="L6" i="72"/>
  <c r="G6" i="72"/>
  <c r="E6" i="72"/>
  <c r="C6" i="72" s="1"/>
  <c r="B6" i="72"/>
  <c r="L5" i="72"/>
  <c r="G5" i="72"/>
  <c r="E5" i="72"/>
  <c r="B5" i="72"/>
  <c r="N38" i="71"/>
  <c r="L38" i="71"/>
  <c r="F38" i="71"/>
  <c r="D38" i="71"/>
  <c r="O37" i="71"/>
  <c r="L37" i="71"/>
  <c r="G37" i="71"/>
  <c r="E37" i="71"/>
  <c r="B37" i="71"/>
  <c r="O36" i="71"/>
  <c r="L36" i="71"/>
  <c r="G36" i="71"/>
  <c r="E36" i="71"/>
  <c r="B36" i="71"/>
  <c r="O35" i="71"/>
  <c r="L35" i="71"/>
  <c r="G35" i="71"/>
  <c r="E35" i="71"/>
  <c r="B35" i="71"/>
  <c r="O34" i="71"/>
  <c r="L34" i="71"/>
  <c r="G34" i="71"/>
  <c r="E34" i="71"/>
  <c r="B34" i="71"/>
  <c r="O33" i="71"/>
  <c r="L33" i="71"/>
  <c r="G33" i="71"/>
  <c r="E33" i="71"/>
  <c r="B33" i="71"/>
  <c r="O32" i="71"/>
  <c r="L32" i="71"/>
  <c r="G32" i="71"/>
  <c r="E32" i="71"/>
  <c r="B32" i="71"/>
  <c r="O31" i="71"/>
  <c r="L31" i="71"/>
  <c r="G31" i="71"/>
  <c r="E31" i="71"/>
  <c r="B31" i="71"/>
  <c r="O30" i="71"/>
  <c r="L30" i="71"/>
  <c r="G30" i="71"/>
  <c r="E30" i="71"/>
  <c r="B30" i="71"/>
  <c r="O29" i="71"/>
  <c r="L29" i="71"/>
  <c r="G29" i="71"/>
  <c r="E29" i="71"/>
  <c r="B29" i="71"/>
  <c r="O28" i="71"/>
  <c r="L28" i="71"/>
  <c r="G28" i="71"/>
  <c r="E28" i="71"/>
  <c r="B28" i="71"/>
  <c r="O27" i="71"/>
  <c r="L27" i="71"/>
  <c r="G27" i="71"/>
  <c r="E27" i="71"/>
  <c r="B27" i="71"/>
  <c r="O26" i="71"/>
  <c r="L26" i="71"/>
  <c r="G26" i="71"/>
  <c r="E26" i="71"/>
  <c r="B26" i="71"/>
  <c r="F17" i="71"/>
  <c r="D17" i="71"/>
  <c r="L16" i="71"/>
  <c r="L17" i="71" s="1"/>
  <c r="G16" i="71"/>
  <c r="E16" i="71"/>
  <c r="G15" i="71"/>
  <c r="E15" i="71"/>
  <c r="G14" i="71"/>
  <c r="E14" i="71"/>
  <c r="G13" i="71"/>
  <c r="E13" i="71"/>
  <c r="G12" i="71"/>
  <c r="E12" i="71"/>
  <c r="G11" i="71"/>
  <c r="E11" i="71"/>
  <c r="O10" i="71"/>
  <c r="G10" i="71"/>
  <c r="E10" i="71"/>
  <c r="O9" i="71"/>
  <c r="G9" i="71"/>
  <c r="E9" i="71"/>
  <c r="O8" i="71"/>
  <c r="G8" i="71"/>
  <c r="E8" i="71"/>
  <c r="O7" i="71"/>
  <c r="G7" i="71"/>
  <c r="E7" i="71"/>
  <c r="O6" i="71"/>
  <c r="G6" i="71"/>
  <c r="E6" i="71"/>
  <c r="G5" i="71"/>
  <c r="E5" i="71"/>
  <c r="F38" i="66"/>
  <c r="D38" i="66"/>
  <c r="G37" i="66"/>
  <c r="E37" i="66"/>
  <c r="B37" i="66"/>
  <c r="G36" i="66"/>
  <c r="E36" i="66"/>
  <c r="C36" i="66" s="1"/>
  <c r="B36" i="66"/>
  <c r="G35" i="66"/>
  <c r="E35" i="66"/>
  <c r="C35" i="66" s="1"/>
  <c r="B35" i="66"/>
  <c r="G34" i="66"/>
  <c r="E34" i="66"/>
  <c r="B34" i="66"/>
  <c r="G33" i="66"/>
  <c r="E33" i="66"/>
  <c r="B33" i="66"/>
  <c r="G32" i="66"/>
  <c r="E32" i="66"/>
  <c r="C32" i="66" s="1"/>
  <c r="B32" i="66"/>
  <c r="G31" i="66"/>
  <c r="E31" i="66"/>
  <c r="B31" i="66"/>
  <c r="G30" i="66"/>
  <c r="E30" i="66"/>
  <c r="B30" i="66"/>
  <c r="G29" i="66"/>
  <c r="E29" i="66"/>
  <c r="B29" i="66"/>
  <c r="G28" i="66"/>
  <c r="E28" i="66"/>
  <c r="C28" i="66" s="1"/>
  <c r="B28" i="66"/>
  <c r="G27" i="66"/>
  <c r="E27" i="66"/>
  <c r="B27" i="66"/>
  <c r="M26" i="66"/>
  <c r="M38" i="66" s="1"/>
  <c r="G26" i="66"/>
  <c r="E26" i="66"/>
  <c r="B26" i="66"/>
  <c r="F17" i="66"/>
  <c r="D17" i="66"/>
  <c r="G16" i="66"/>
  <c r="E16" i="66"/>
  <c r="B16" i="66"/>
  <c r="G15" i="66"/>
  <c r="E15" i="66"/>
  <c r="C15" i="66" s="1"/>
  <c r="B15" i="66"/>
  <c r="G14" i="66"/>
  <c r="E14" i="66"/>
  <c r="B14" i="66"/>
  <c r="G13" i="66"/>
  <c r="E13" i="66"/>
  <c r="B13" i="66"/>
  <c r="G12" i="66"/>
  <c r="E12" i="66"/>
  <c r="C12" i="66" s="1"/>
  <c r="B12" i="66"/>
  <c r="G11" i="66"/>
  <c r="E11" i="66"/>
  <c r="B11" i="66"/>
  <c r="G10" i="66"/>
  <c r="E10" i="66"/>
  <c r="B10" i="66"/>
  <c r="G9" i="66"/>
  <c r="E9" i="66"/>
  <c r="C9" i="66" s="1"/>
  <c r="B9" i="66"/>
  <c r="M8" i="66"/>
  <c r="G8" i="66"/>
  <c r="E8" i="66"/>
  <c r="B8" i="66"/>
  <c r="G7" i="66"/>
  <c r="E7" i="66"/>
  <c r="B7" i="66"/>
  <c r="G6" i="66"/>
  <c r="E6" i="66"/>
  <c r="B6" i="66"/>
  <c r="M5" i="66"/>
  <c r="G5" i="66"/>
  <c r="E5" i="66"/>
  <c r="B5" i="66"/>
  <c r="P38" i="65"/>
  <c r="F38" i="65"/>
  <c r="D38" i="65"/>
  <c r="Q37" i="65"/>
  <c r="G37" i="65"/>
  <c r="E37" i="65"/>
  <c r="C37" i="65" s="1"/>
  <c r="B37" i="65"/>
  <c r="Q36" i="65"/>
  <c r="G36" i="65"/>
  <c r="E36" i="65"/>
  <c r="B36" i="65"/>
  <c r="Q35" i="65"/>
  <c r="G35" i="65"/>
  <c r="E35" i="65"/>
  <c r="C35" i="65" s="1"/>
  <c r="B35" i="65"/>
  <c r="Q34" i="65"/>
  <c r="G34" i="65"/>
  <c r="E34" i="65"/>
  <c r="B34" i="65"/>
  <c r="Q33" i="65"/>
  <c r="G33" i="65"/>
  <c r="E33" i="65"/>
  <c r="C33" i="65" s="1"/>
  <c r="B33" i="65"/>
  <c r="Q32" i="65"/>
  <c r="G32" i="65"/>
  <c r="E32" i="65"/>
  <c r="C32" i="65" s="1"/>
  <c r="B32" i="65"/>
  <c r="Q31" i="65"/>
  <c r="G31" i="65"/>
  <c r="E31" i="65"/>
  <c r="C31" i="65" s="1"/>
  <c r="B31" i="65"/>
  <c r="Q30" i="65"/>
  <c r="G30" i="65"/>
  <c r="E30" i="65"/>
  <c r="C30" i="65" s="1"/>
  <c r="B30" i="65"/>
  <c r="G29" i="65"/>
  <c r="E29" i="65"/>
  <c r="B29" i="65"/>
  <c r="G28" i="65"/>
  <c r="E28" i="65"/>
  <c r="C28" i="65" s="1"/>
  <c r="B28" i="65"/>
  <c r="G27" i="65"/>
  <c r="E27" i="65"/>
  <c r="C27" i="65" s="1"/>
  <c r="B27" i="65"/>
  <c r="G26" i="65"/>
  <c r="E26" i="65"/>
  <c r="C26" i="65" s="1"/>
  <c r="B26" i="65"/>
  <c r="F17" i="65"/>
  <c r="D17" i="65"/>
  <c r="G16" i="65"/>
  <c r="E16" i="65"/>
  <c r="C16" i="65" s="1"/>
  <c r="B16" i="65"/>
  <c r="G15" i="65"/>
  <c r="E15" i="65"/>
  <c r="B15" i="65"/>
  <c r="G14" i="65"/>
  <c r="E14" i="65"/>
  <c r="C14" i="65" s="1"/>
  <c r="B14" i="65"/>
  <c r="G13" i="65"/>
  <c r="E13" i="65"/>
  <c r="B13" i="65"/>
  <c r="G12" i="65"/>
  <c r="E12" i="65"/>
  <c r="B12" i="65"/>
  <c r="G11" i="65"/>
  <c r="E11" i="65"/>
  <c r="C11" i="65" s="1"/>
  <c r="B11" i="65"/>
  <c r="G10" i="65"/>
  <c r="E10" i="65"/>
  <c r="C10" i="65" s="1"/>
  <c r="B10" i="65"/>
  <c r="G9" i="65"/>
  <c r="E9" i="65"/>
  <c r="B9" i="65"/>
  <c r="M8" i="65"/>
  <c r="G8" i="65"/>
  <c r="E8" i="65"/>
  <c r="B8" i="65"/>
  <c r="G7" i="65"/>
  <c r="E7" i="65"/>
  <c r="B7" i="65"/>
  <c r="G6" i="65"/>
  <c r="E6" i="65"/>
  <c r="B6" i="65"/>
  <c r="M5" i="65"/>
  <c r="M17" i="65" s="1"/>
  <c r="G5" i="65"/>
  <c r="E5" i="65"/>
  <c r="B5" i="65"/>
  <c r="P38" i="59"/>
  <c r="F38" i="59"/>
  <c r="D38" i="59"/>
  <c r="G37" i="59"/>
  <c r="E37" i="59"/>
  <c r="B37" i="59"/>
  <c r="G36" i="59"/>
  <c r="E36" i="59"/>
  <c r="C36" i="59" s="1"/>
  <c r="B36" i="59"/>
  <c r="G35" i="59"/>
  <c r="E35" i="59"/>
  <c r="B35" i="59"/>
  <c r="G34" i="59"/>
  <c r="E34" i="59"/>
  <c r="B34" i="59"/>
  <c r="G33" i="59"/>
  <c r="E33" i="59"/>
  <c r="C33" i="59" s="1"/>
  <c r="B33" i="59"/>
  <c r="G32" i="59"/>
  <c r="E32" i="59"/>
  <c r="C32" i="59" s="1"/>
  <c r="B32" i="59"/>
  <c r="G31" i="59"/>
  <c r="E31" i="59"/>
  <c r="B31" i="59"/>
  <c r="G30" i="59"/>
  <c r="E30" i="59"/>
  <c r="C30" i="59" s="1"/>
  <c r="B30" i="59"/>
  <c r="G29" i="59"/>
  <c r="E29" i="59"/>
  <c r="C29" i="59" s="1"/>
  <c r="B29" i="59"/>
  <c r="G28" i="59"/>
  <c r="E28" i="59"/>
  <c r="B28" i="59"/>
  <c r="G27" i="59"/>
  <c r="E27" i="59"/>
  <c r="B27" i="59"/>
  <c r="G26" i="59"/>
  <c r="E26" i="59"/>
  <c r="B26" i="59"/>
  <c r="F17" i="59"/>
  <c r="D17" i="59"/>
  <c r="G16" i="59"/>
  <c r="E16" i="59"/>
  <c r="B16" i="59"/>
  <c r="G15" i="59"/>
  <c r="E15" i="59"/>
  <c r="C15" i="59" s="1"/>
  <c r="B15" i="59"/>
  <c r="G14" i="59"/>
  <c r="E14" i="59"/>
  <c r="C14" i="59" s="1"/>
  <c r="B14" i="59"/>
  <c r="G13" i="59"/>
  <c r="E13" i="59"/>
  <c r="B13" i="59"/>
  <c r="G12" i="59"/>
  <c r="E12" i="59"/>
  <c r="C12" i="59" s="1"/>
  <c r="B12" i="59"/>
  <c r="G11" i="59"/>
  <c r="E11" i="59"/>
  <c r="C11" i="59" s="1"/>
  <c r="B11" i="59"/>
  <c r="G10" i="59"/>
  <c r="E10" i="59"/>
  <c r="C10" i="59" s="1"/>
  <c r="B10" i="59"/>
  <c r="G9" i="59"/>
  <c r="E9" i="59"/>
  <c r="C9" i="59" s="1"/>
  <c r="B9" i="59"/>
  <c r="G8" i="59"/>
  <c r="E8" i="59"/>
  <c r="B8" i="59"/>
  <c r="G7" i="59"/>
  <c r="E7" i="59"/>
  <c r="C7" i="59" s="1"/>
  <c r="B7" i="59"/>
  <c r="G6" i="59"/>
  <c r="E6" i="59"/>
  <c r="B6" i="59"/>
  <c r="M5" i="59"/>
  <c r="M17" i="59" s="1"/>
  <c r="G5" i="59"/>
  <c r="E5" i="59"/>
  <c r="C5" i="59" s="1"/>
  <c r="B5" i="59"/>
  <c r="N38" i="48"/>
  <c r="L38" i="48"/>
  <c r="F38" i="48"/>
  <c r="D38" i="48"/>
  <c r="O37" i="48"/>
  <c r="L37" i="48"/>
  <c r="G37" i="48"/>
  <c r="E37" i="48"/>
  <c r="C37" i="48" s="1"/>
  <c r="B37" i="48"/>
  <c r="O36" i="48"/>
  <c r="L36" i="48"/>
  <c r="G36" i="48"/>
  <c r="E36" i="48"/>
  <c r="B36" i="48"/>
  <c r="O35" i="48"/>
  <c r="L35" i="48"/>
  <c r="G35" i="48"/>
  <c r="E35" i="48"/>
  <c r="B35" i="48"/>
  <c r="O34" i="48"/>
  <c r="L34" i="48"/>
  <c r="G34" i="48"/>
  <c r="E34" i="48"/>
  <c r="C34" i="48" s="1"/>
  <c r="B34" i="48"/>
  <c r="O33" i="48"/>
  <c r="L33" i="48"/>
  <c r="G33" i="48"/>
  <c r="E33" i="48"/>
  <c r="C33" i="48" s="1"/>
  <c r="B33" i="48"/>
  <c r="O32" i="48"/>
  <c r="L32" i="48"/>
  <c r="G32" i="48"/>
  <c r="E32" i="48"/>
  <c r="C32" i="48" s="1"/>
  <c r="B32" i="48"/>
  <c r="O31" i="48"/>
  <c r="L31" i="48"/>
  <c r="G31" i="48"/>
  <c r="E31" i="48"/>
  <c r="B31" i="48"/>
  <c r="O30" i="48"/>
  <c r="L30" i="48"/>
  <c r="G30" i="48"/>
  <c r="E30" i="48"/>
  <c r="C30" i="48" s="1"/>
  <c r="B30" i="48"/>
  <c r="O29" i="48"/>
  <c r="L29" i="48"/>
  <c r="G29" i="48"/>
  <c r="E29" i="48"/>
  <c r="C29" i="48" s="1"/>
  <c r="B29" i="48"/>
  <c r="O28" i="48"/>
  <c r="L28" i="48"/>
  <c r="G28" i="48"/>
  <c r="E28" i="48"/>
  <c r="B28" i="48"/>
  <c r="O27" i="48"/>
  <c r="L27" i="48"/>
  <c r="G27" i="48"/>
  <c r="E27" i="48"/>
  <c r="B27" i="48"/>
  <c r="O26" i="48"/>
  <c r="L26" i="48"/>
  <c r="G26" i="48"/>
  <c r="E26" i="48"/>
  <c r="B26" i="48"/>
  <c r="C26" i="79" l="1"/>
  <c r="C31" i="79"/>
  <c r="C29" i="79"/>
  <c r="C34" i="79"/>
  <c r="L17" i="79"/>
  <c r="C29" i="71"/>
  <c r="C37" i="71"/>
  <c r="C35" i="71"/>
  <c r="C36" i="71"/>
  <c r="C32" i="71"/>
  <c r="C30" i="71"/>
  <c r="C28" i="71"/>
  <c r="B38" i="71"/>
  <c r="C33" i="71"/>
  <c r="G38" i="71"/>
  <c r="C31" i="71"/>
  <c r="C34" i="71"/>
  <c r="E38" i="71"/>
  <c r="C27" i="71"/>
  <c r="L17" i="75"/>
  <c r="C31" i="75"/>
  <c r="C35" i="79"/>
  <c r="C27" i="79"/>
  <c r="C32" i="79"/>
  <c r="C30" i="79"/>
  <c r="C37" i="79"/>
  <c r="C28" i="79"/>
  <c r="C33" i="79"/>
  <c r="G38" i="79"/>
  <c r="P38" i="79"/>
  <c r="C13" i="72"/>
  <c r="C11" i="72"/>
  <c r="C34" i="72"/>
  <c r="C37" i="72"/>
  <c r="C10" i="72"/>
  <c r="C7" i="72"/>
  <c r="C15" i="72"/>
  <c r="C28" i="72"/>
  <c r="C35" i="72"/>
  <c r="C36" i="48"/>
  <c r="C6" i="65"/>
  <c r="M17" i="66"/>
  <c r="C11" i="66"/>
  <c r="C9" i="72"/>
  <c r="C29" i="75"/>
  <c r="C11" i="76"/>
  <c r="C14" i="76"/>
  <c r="C29" i="76"/>
  <c r="M38" i="65"/>
  <c r="C27" i="48"/>
  <c r="C6" i="66"/>
  <c r="C30" i="66"/>
  <c r="C26" i="71"/>
  <c r="B17" i="72"/>
  <c r="C12" i="72"/>
  <c r="C27" i="72"/>
  <c r="C36" i="72"/>
  <c r="C27" i="75"/>
  <c r="C6" i="76"/>
  <c r="C26" i="76"/>
  <c r="E17" i="72"/>
  <c r="G38" i="75"/>
  <c r="G17" i="72"/>
  <c r="C32" i="72"/>
  <c r="C35" i="48"/>
  <c r="C27" i="59"/>
  <c r="C35" i="59"/>
  <c r="C29" i="65"/>
  <c r="O38" i="71"/>
  <c r="C8" i="72"/>
  <c r="C30" i="72"/>
  <c r="G17" i="75"/>
  <c r="C7" i="76"/>
  <c r="C28" i="48"/>
  <c r="C8" i="65"/>
  <c r="C13" i="66"/>
  <c r="C16" i="66"/>
  <c r="G17" i="79"/>
  <c r="B38" i="48"/>
  <c r="C27" i="82"/>
  <c r="C30" i="82"/>
  <c r="C33" i="82"/>
  <c r="C36" i="82"/>
  <c r="C36" i="65"/>
  <c r="P38" i="72"/>
  <c r="C32" i="76"/>
  <c r="E38" i="48"/>
  <c r="G38" i="48"/>
  <c r="C31" i="48"/>
  <c r="G17" i="71"/>
  <c r="G38" i="72"/>
  <c r="C10" i="74"/>
  <c r="C28" i="74"/>
  <c r="C32" i="74"/>
  <c r="C37" i="75"/>
  <c r="B38" i="79"/>
  <c r="C10" i="81"/>
  <c r="C16" i="81"/>
  <c r="C35" i="81"/>
  <c r="G38" i="81"/>
  <c r="C6" i="81"/>
  <c r="C9" i="81"/>
  <c r="C12" i="81"/>
  <c r="C15" i="81"/>
  <c r="C28" i="81"/>
  <c r="C31" i="81"/>
  <c r="C34" i="81"/>
  <c r="C37" i="81"/>
  <c r="B17" i="81"/>
  <c r="O38" i="48"/>
  <c r="B38" i="72"/>
  <c r="E38" i="72"/>
  <c r="C5" i="72"/>
  <c r="B17" i="71"/>
  <c r="E17" i="71"/>
  <c r="E38" i="79"/>
  <c r="B17" i="79"/>
  <c r="E17" i="79"/>
  <c r="C26" i="48"/>
  <c r="C38" i="48" s="1"/>
  <c r="B38" i="75"/>
  <c r="E38" i="75"/>
  <c r="E17" i="75"/>
  <c r="B17" i="75"/>
  <c r="C27" i="81"/>
  <c r="C33" i="81"/>
  <c r="C11" i="81"/>
  <c r="C30" i="81"/>
  <c r="C36" i="81"/>
  <c r="E17" i="81"/>
  <c r="C8" i="81"/>
  <c r="C14" i="81"/>
  <c r="B38" i="81"/>
  <c r="C7" i="81"/>
  <c r="C13" i="81"/>
  <c r="E38" i="81"/>
  <c r="C32" i="81"/>
  <c r="C26" i="81"/>
  <c r="C12" i="74"/>
  <c r="C8" i="74"/>
  <c r="C27" i="74"/>
  <c r="C35" i="74"/>
  <c r="M17" i="74"/>
  <c r="C11" i="74"/>
  <c r="C14" i="74"/>
  <c r="C29" i="74"/>
  <c r="C37" i="74"/>
  <c r="C7" i="74"/>
  <c r="G17" i="74"/>
  <c r="C36" i="74"/>
  <c r="C6" i="74"/>
  <c r="C9" i="74"/>
  <c r="C16" i="74"/>
  <c r="C30" i="76"/>
  <c r="B17" i="76"/>
  <c r="C15" i="76"/>
  <c r="C28" i="76"/>
  <c r="C31" i="66"/>
  <c r="C7" i="66"/>
  <c r="C14" i="66"/>
  <c r="C34" i="66"/>
  <c r="B38" i="66"/>
  <c r="C26" i="66"/>
  <c r="C8" i="66"/>
  <c r="C34" i="65"/>
  <c r="C38" i="65" s="1"/>
  <c r="B38" i="76"/>
  <c r="C13" i="59"/>
  <c r="C16" i="59"/>
  <c r="E38" i="59"/>
  <c r="G38" i="59"/>
  <c r="G17" i="59"/>
  <c r="C8" i="59"/>
  <c r="C28" i="59"/>
  <c r="C31" i="59"/>
  <c r="C12" i="65"/>
  <c r="C15" i="65"/>
  <c r="Q38" i="65"/>
  <c r="C7" i="65"/>
  <c r="B17" i="74"/>
  <c r="B38" i="74"/>
  <c r="E17" i="74"/>
  <c r="C13" i="74"/>
  <c r="E38" i="74"/>
  <c r="G38" i="74"/>
  <c r="P38" i="82"/>
  <c r="M17" i="82"/>
  <c r="C6" i="82"/>
  <c r="C9" i="82"/>
  <c r="C12" i="82"/>
  <c r="C15" i="82"/>
  <c r="C32" i="82"/>
  <c r="G17" i="82"/>
  <c r="G38" i="82"/>
  <c r="C31" i="82"/>
  <c r="C37" i="82"/>
  <c r="B17" i="66"/>
  <c r="E17" i="66"/>
  <c r="C10" i="66"/>
  <c r="E38" i="66"/>
  <c r="G38" i="66"/>
  <c r="G17" i="66"/>
  <c r="C29" i="66"/>
  <c r="C33" i="66"/>
  <c r="C37" i="66"/>
  <c r="B17" i="65"/>
  <c r="B38" i="65"/>
  <c r="E17" i="65"/>
  <c r="C9" i="65"/>
  <c r="C13" i="65"/>
  <c r="G38" i="65"/>
  <c r="E38" i="65"/>
  <c r="G17" i="65"/>
  <c r="E17" i="76"/>
  <c r="C8" i="76"/>
  <c r="E38" i="76"/>
  <c r="C31" i="76"/>
  <c r="C35" i="76"/>
  <c r="G17" i="76"/>
  <c r="G38" i="76"/>
  <c r="C10" i="76"/>
  <c r="C13" i="76"/>
  <c r="C16" i="76"/>
  <c r="C33" i="76"/>
  <c r="C37" i="76"/>
  <c r="Q38" i="59"/>
  <c r="C34" i="59"/>
  <c r="C37" i="59"/>
  <c r="B17" i="59"/>
  <c r="C6" i="59"/>
  <c r="B38" i="59"/>
  <c r="B38" i="82"/>
  <c r="E38" i="82"/>
  <c r="C26" i="82"/>
  <c r="E17" i="82"/>
  <c r="C5" i="82"/>
  <c r="G17" i="81"/>
  <c r="C5" i="81"/>
  <c r="C17" i="79"/>
  <c r="C5" i="76"/>
  <c r="C17" i="75"/>
  <c r="C5" i="74"/>
  <c r="C26" i="72"/>
  <c r="C17" i="71"/>
  <c r="C27" i="66"/>
  <c r="C5" i="66"/>
  <c r="C5" i="65"/>
  <c r="E17" i="59"/>
  <c r="C26" i="59"/>
  <c r="C38" i="71" l="1"/>
  <c r="C38" i="75"/>
  <c r="C38" i="79"/>
  <c r="C17" i="82"/>
  <c r="C17" i="72"/>
  <c r="C17" i="59"/>
  <c r="C38" i="72"/>
  <c r="C38" i="81"/>
  <c r="C17" i="81"/>
  <c r="C38" i="74"/>
  <c r="C17" i="74"/>
  <c r="C17" i="66"/>
  <c r="C38" i="76"/>
  <c r="C17" i="65"/>
  <c r="C38" i="82"/>
  <c r="C38" i="66"/>
  <c r="C17" i="76"/>
  <c r="C38" i="59"/>
</calcChain>
</file>

<file path=xl/sharedStrings.xml><?xml version="1.0" encoding="utf-8"?>
<sst xmlns="http://schemas.openxmlformats.org/spreadsheetml/2006/main" count="2373" uniqueCount="253">
  <si>
    <t>leden</t>
  </si>
  <si>
    <t>únor</t>
  </si>
  <si>
    <t>březen</t>
  </si>
  <si>
    <t>duben</t>
  </si>
  <si>
    <t>květen</t>
  </si>
  <si>
    <t>červen</t>
  </si>
  <si>
    <t>čevenec</t>
  </si>
  <si>
    <t>srpen</t>
  </si>
  <si>
    <t>září</t>
  </si>
  <si>
    <t>říjen</t>
  </si>
  <si>
    <t>listopad</t>
  </si>
  <si>
    <t>prosinec</t>
  </si>
  <si>
    <t>teplo (vytápění)</t>
  </si>
  <si>
    <t>teplo (TUV)</t>
  </si>
  <si>
    <t>elektřina</t>
  </si>
  <si>
    <t>voda</t>
  </si>
  <si>
    <t>GJ</t>
  </si>
  <si>
    <t>Kč</t>
  </si>
  <si>
    <t>kWh</t>
  </si>
  <si>
    <t>vodné Kč</t>
  </si>
  <si>
    <t>suma</t>
  </si>
  <si>
    <t>teplo (vytápění+TUV)</t>
  </si>
  <si>
    <t>Referenční spotřeby</t>
  </si>
  <si>
    <r>
      <t>m</t>
    </r>
    <r>
      <rPr>
        <vertAlign val="superscript"/>
        <sz val="10"/>
        <rFont val="Arial"/>
        <family val="2"/>
        <charset val="238"/>
      </rPr>
      <t>3</t>
    </r>
  </si>
  <si>
    <t xml:space="preserve"> Kč</t>
  </si>
  <si>
    <t>Výpočet referenční spotřeby tepla na vytápění</t>
  </si>
  <si>
    <t>červenec</t>
  </si>
  <si>
    <t>Průměrná vnitřní teplota</t>
  </si>
  <si>
    <r>
      <rPr>
        <vertAlign val="superscript"/>
        <sz val="10"/>
        <rFont val="Arial CE"/>
        <charset val="238"/>
      </rPr>
      <t>o</t>
    </r>
    <r>
      <rPr>
        <sz val="10"/>
        <rFont val="Arial"/>
        <family val="2"/>
        <charset val="238"/>
      </rPr>
      <t>C</t>
    </r>
  </si>
  <si>
    <t>zemní plyn</t>
  </si>
  <si>
    <t>topné dny</t>
  </si>
  <si>
    <r>
      <t>o</t>
    </r>
    <r>
      <rPr>
        <sz val="10"/>
        <rFont val="Arial CE"/>
        <charset val="238"/>
      </rPr>
      <t>C</t>
    </r>
  </si>
  <si>
    <r>
      <t>o</t>
    </r>
    <r>
      <rPr>
        <sz val="10"/>
        <rFont val="Arial CE"/>
        <charset val="238"/>
      </rPr>
      <t>D</t>
    </r>
    <r>
      <rPr>
        <vertAlign val="subscript"/>
        <sz val="10"/>
        <rFont val="Arial CE"/>
        <charset val="238"/>
      </rPr>
      <t>N</t>
    </r>
  </si>
  <si>
    <t>Hodnoty provozních nákladů v Kč jsou uvedeny bez DPH</t>
  </si>
  <si>
    <t>20. Městský úřad</t>
  </si>
  <si>
    <t>VT kWh</t>
  </si>
  <si>
    <t>NT kWh</t>
  </si>
  <si>
    <t>celkem kWh</t>
  </si>
  <si>
    <t>1.1.2019-27.3.2019</t>
  </si>
  <si>
    <t>1.1.2019-26.3.2019</t>
  </si>
  <si>
    <t>1.1.2019-1.4.2019</t>
  </si>
  <si>
    <t>27.3.2019-31.12.2019</t>
  </si>
  <si>
    <t>28.3.2019-31.12.2019</t>
  </si>
  <si>
    <t>2.4.2019-31.12.2019</t>
  </si>
  <si>
    <t>1.1.2020-6.4.2020</t>
  </si>
  <si>
    <t>7.4.2020-31.12.2020</t>
  </si>
  <si>
    <t>1.1.2020-22.10.2020</t>
  </si>
  <si>
    <t>23.10.2020-31.12.2020</t>
  </si>
  <si>
    <t>19.10.2019-31.12.2019</t>
  </si>
  <si>
    <t>POZNÁMKY</t>
  </si>
  <si>
    <t>Vodné</t>
  </si>
  <si>
    <t>Stočné</t>
  </si>
  <si>
    <t>Poznámky</t>
  </si>
  <si>
    <t>chybí</t>
  </si>
  <si>
    <t>Faktura město</t>
  </si>
  <si>
    <t>do 23.1.2019</t>
  </si>
  <si>
    <t>do 21.1.2019</t>
  </si>
  <si>
    <t>do 27.1.</t>
  </si>
  <si>
    <t>do5.2.2020</t>
  </si>
  <si>
    <t>do 22.1.2020</t>
  </si>
  <si>
    <t>OM: 110218</t>
  </si>
  <si>
    <t>OM: 110218S</t>
  </si>
  <si>
    <t>voda - vodné</t>
  </si>
  <si>
    <t>voda - stočné</t>
  </si>
  <si>
    <t>Vyúčtování</t>
  </si>
  <si>
    <t>1.1.19-31.12.19</t>
  </si>
  <si>
    <t>OM: 11218S</t>
  </si>
  <si>
    <t>Vyúčtování:</t>
  </si>
  <si>
    <t>1.1.20-30.4.20</t>
  </si>
  <si>
    <t>1.5.-31.12.20</t>
  </si>
  <si>
    <t>EAN: 859182400503901311</t>
  </si>
  <si>
    <t>OM: 110139</t>
  </si>
  <si>
    <t>OM: 110139S</t>
  </si>
  <si>
    <t>1.1.19-27.3.19</t>
  </si>
  <si>
    <t>28.3.19-31.12.19</t>
  </si>
  <si>
    <t>1.1.20-29.3.20</t>
  </si>
  <si>
    <t>30.3.20-31.12.20</t>
  </si>
  <si>
    <t>OM: 110016S</t>
  </si>
  <si>
    <t>OM: 110016</t>
  </si>
  <si>
    <t>Chybí faktury za duben, listopad, prosinec</t>
  </si>
  <si>
    <t>Chybí faktury</t>
  </si>
  <si>
    <t>21 % DPH</t>
  </si>
  <si>
    <t>Stočné není</t>
  </si>
  <si>
    <t>Teplo není</t>
  </si>
  <si>
    <t>EAN: 859182400509466944</t>
  </si>
  <si>
    <t>OM 27ZG700Z000085R</t>
  </si>
  <si>
    <t>OM: 110025</t>
  </si>
  <si>
    <t>EAN: 859182400503711170</t>
  </si>
  <si>
    <t>OM 27ZG700Z0008810N</t>
  </si>
  <si>
    <t>Byt školníka?</t>
  </si>
  <si>
    <t>27ZG700Z00905371</t>
  </si>
  <si>
    <t>2. května 500, 742 13 Studénka 2. května 500, 742 13 Studénka</t>
  </si>
  <si>
    <t>(ŠJ)</t>
  </si>
  <si>
    <t>Jídelna?</t>
  </si>
  <si>
    <t>27ZG700Z0029021X</t>
  </si>
  <si>
    <t>ZŠ TGM, 2. května 500, 742 13 S 2. května 500, 742 13 Studénka</t>
  </si>
  <si>
    <t>27ZG700Z0029020Z</t>
  </si>
  <si>
    <t>EIC</t>
  </si>
  <si>
    <t xml:space="preserve">Název OM: </t>
  </si>
  <si>
    <t>Zemní plyn</t>
  </si>
  <si>
    <t>2020 nejsou faktury</t>
  </si>
  <si>
    <t>10.1.19-31.12.19</t>
  </si>
  <si>
    <t>29.9.19-31.12.19</t>
  </si>
  <si>
    <t>1.1.19-9.1.19</t>
  </si>
  <si>
    <t>1.1.19-28.3.19</t>
  </si>
  <si>
    <t>3 zemní plyn</t>
  </si>
  <si>
    <t>2 zemní plyn</t>
  </si>
  <si>
    <t>1 zemní plyn</t>
  </si>
  <si>
    <t>2. faktura EAN: 859182400503819470</t>
  </si>
  <si>
    <t>1. faktura EAN: 859182400503903582 (škola)</t>
  </si>
  <si>
    <t>Školní jídelna? Byt školníka?</t>
  </si>
  <si>
    <t>CHYBÍ</t>
  </si>
  <si>
    <t>stočné Kč</t>
  </si>
  <si>
    <t>EAN OPM 859182400503902509</t>
  </si>
  <si>
    <t>EAN OPM 859182400503902516</t>
  </si>
  <si>
    <t>EAN OPM 859182400503902493</t>
  </si>
  <si>
    <t>27ZG700Z0018153R</t>
  </si>
  <si>
    <t>27ZG700Z0018152T</t>
  </si>
  <si>
    <t>5076 - jídelna</t>
  </si>
  <si>
    <t>5075 - škola</t>
  </si>
  <si>
    <t>29.3.19-31.12.19</t>
  </si>
  <si>
    <t>22.1.19-31.12.19</t>
  </si>
  <si>
    <t>1.1.19-21.1.19</t>
  </si>
  <si>
    <t>OM: 110033</t>
  </si>
  <si>
    <t>EAN: 859182400503711194</t>
  </si>
  <si>
    <t>OM 0790145080</t>
  </si>
  <si>
    <t>OM: 110129</t>
  </si>
  <si>
    <t>EAN: 859182400503903407</t>
  </si>
  <si>
    <t>12. Nový zámek</t>
  </si>
  <si>
    <t>3.4.20-31.12.20</t>
  </si>
  <si>
    <t>1.1.20-2.4.20</t>
  </si>
  <si>
    <t>OM: 110227S</t>
  </si>
  <si>
    <t>OM: 110227</t>
  </si>
  <si>
    <t>EAN OM: 859182400503903650</t>
  </si>
  <si>
    <t>13 SDH 2. května 883</t>
  </si>
  <si>
    <t>EAN: 859182400503903506</t>
  </si>
  <si>
    <t>1.1.19-1.4.19</t>
  </si>
  <si>
    <t>2.4.19-31.12.19</t>
  </si>
  <si>
    <t>OM: 110084</t>
  </si>
  <si>
    <t>EAN: 859182400503711231</t>
  </si>
  <si>
    <t>OM: 110034</t>
  </si>
  <si>
    <t>29.3319-31.12.19</t>
  </si>
  <si>
    <t>Viz 6 ZŠ FKT (TGM) 2. května 500</t>
  </si>
  <si>
    <t xml:space="preserve"> </t>
  </si>
  <si>
    <t>17 Jídelna při ZŠ TGM 2. května</t>
  </si>
  <si>
    <t>EAN: 859182400503712337</t>
  </si>
  <si>
    <t>OM: 110222</t>
  </si>
  <si>
    <t>OM: 110222S</t>
  </si>
  <si>
    <t>1.1.19-22.3.19</t>
  </si>
  <si>
    <t>23.3.19-31-12-19</t>
  </si>
  <si>
    <t>1.1.20-6.4.20</t>
  </si>
  <si>
    <t>7.4.20-31.12.20</t>
  </si>
  <si>
    <t>OM: 110248</t>
  </si>
  <si>
    <t>EAN: 859182400510834398</t>
  </si>
  <si>
    <t>EAN: 859182400503902578</t>
  </si>
  <si>
    <t>Ulice: Sjednocení 762</t>
  </si>
  <si>
    <t>29.3.19-6.4.20</t>
  </si>
  <si>
    <t>Jiná faktura není</t>
  </si>
  <si>
    <t>Hasičárna</t>
  </si>
  <si>
    <t>EAN: 859182400503826034</t>
  </si>
  <si>
    <t>Byt v hasičárně</t>
  </si>
  <si>
    <t>1.1.19-6.2.19</t>
  </si>
  <si>
    <t>7.2.19-31.12.19</t>
  </si>
  <si>
    <t>1.1.20-5.2.20</t>
  </si>
  <si>
    <t>OM: 110105 (jídelna)</t>
  </si>
  <si>
    <t>OM: 110025 (škola)</t>
  </si>
  <si>
    <t>1. MŠ Budovatelská 580</t>
  </si>
  <si>
    <t>2. MŠ Butovická 106</t>
  </si>
  <si>
    <t>3. MŠ Komenského 700</t>
  </si>
  <si>
    <t>14. SDH Družstevní</t>
  </si>
  <si>
    <t>16. Dělnický dům</t>
  </si>
  <si>
    <t>19. MŠ R. Tomáška</t>
  </si>
  <si>
    <t>20. Budova SŠEP</t>
  </si>
  <si>
    <t>21. MŠ Nová Horka + byty</t>
  </si>
  <si>
    <t>22. Poštovní 772</t>
  </si>
  <si>
    <t>23. Sportovní ubytovací komplex</t>
  </si>
  <si>
    <t>24. Sportovní hala</t>
  </si>
  <si>
    <t>26. ČOV</t>
  </si>
  <si>
    <t>27. Veřejné osvětlení</t>
  </si>
  <si>
    <t xml:space="preserve"> nájemci bytů hradí plyn a elektřinu v bytech</t>
  </si>
  <si>
    <t>1.1.2019-18.10.2019</t>
  </si>
  <si>
    <t>EAN: 859182400511817024</t>
  </si>
  <si>
    <t>poznámka</t>
  </si>
  <si>
    <t>20.8.2019 - 31.12.32019</t>
  </si>
  <si>
    <t>EAN: 859182400503903285</t>
  </si>
  <si>
    <t>30.3.2019 - 31.12.2019</t>
  </si>
  <si>
    <t>EAN: 859182400503903292</t>
  </si>
  <si>
    <t xml:space="preserve">poznámky </t>
  </si>
  <si>
    <t>EAN: 859182400503903308</t>
  </si>
  <si>
    <t>EAN: 859182400503903421</t>
  </si>
  <si>
    <t>EAN: 859182400509465580</t>
  </si>
  <si>
    <t>poznámky</t>
  </si>
  <si>
    <t>29.3.2019 - 31.12.2019</t>
  </si>
  <si>
    <t>EAN: 859182400503903315</t>
  </si>
  <si>
    <t>EAN: 859182400509529229</t>
  </si>
  <si>
    <t>1.1.2019 - 29.3.2019</t>
  </si>
  <si>
    <t>1.1.2019 - 28.3.2019</t>
  </si>
  <si>
    <t>12.1.2019-31.12.2019</t>
  </si>
  <si>
    <t>1.1.2019-2.7.2019</t>
  </si>
  <si>
    <t>3.7.2019-31.12.2019</t>
  </si>
  <si>
    <t>v.č.1049764</t>
  </si>
  <si>
    <t>v.č.66111080</t>
  </si>
  <si>
    <t>koupaliště</t>
  </si>
  <si>
    <t>2.1.2019-2.7.2019</t>
  </si>
  <si>
    <t>v.č.110886</t>
  </si>
  <si>
    <t>1.1.2019-4.7.2019</t>
  </si>
  <si>
    <t>5.7.2019-31.12.2019</t>
  </si>
  <si>
    <t>1.1.2019-8.4.2019</t>
  </si>
  <si>
    <t>9.4.2019-31.12.2019</t>
  </si>
  <si>
    <t>EAN: 859182400509766532</t>
  </si>
  <si>
    <t>nadace futurum</t>
  </si>
  <si>
    <t>4. MŠ Poštovní 659</t>
  </si>
  <si>
    <t>5. ZŠ Butovická 346</t>
  </si>
  <si>
    <t>6.  ZŠ 2. května č.p. 500 - ZŠ FkT</t>
  </si>
  <si>
    <t>7. - 10. ZŠ Sjednocení blok A,B,C,D</t>
  </si>
  <si>
    <t>11. ZUŠ Butovická čp. 376</t>
  </si>
  <si>
    <t>15. SDH Butovická 514</t>
  </si>
  <si>
    <t>18.  MěÚ nám. Republiky č. p. 762</t>
  </si>
  <si>
    <t>25. Tovární 386</t>
  </si>
  <si>
    <t>Klimatické údaje                                         za výchozí rok 2019 - Ostrava - Mošnov</t>
  </si>
  <si>
    <t>Klimatické údaje                                                                za normovaný rok - Ostrava - Mošnov</t>
  </si>
  <si>
    <t>Tabulka provozních podmínek</t>
  </si>
  <si>
    <t>Teplota v místnosti °C</t>
  </si>
  <si>
    <t>provozní hodiny</t>
  </si>
  <si>
    <t>mimoprovozní hodiny</t>
  </si>
  <si>
    <t>svátky, prázdniny</t>
  </si>
  <si>
    <t>Využití, typ, prostor</t>
  </si>
  <si>
    <t>kabinety, kanceláře, sborovny, klubovny, byty</t>
  </si>
  <si>
    <t>komunikace - chodby, schodiště, WC, šatny pro svrchní oděvy</t>
  </si>
  <si>
    <t>tělocvičny</t>
  </si>
  <si>
    <t>šatny u tělocvičen a sportovišť</t>
  </si>
  <si>
    <t>srchy</t>
  </si>
  <si>
    <t>dílny pro hrubou práci</t>
  </si>
  <si>
    <t>sklady a pomocné prostory</t>
  </si>
  <si>
    <t>přípravny, očetřovny, ordinace</t>
  </si>
  <si>
    <t>lůžkové pokoje</t>
  </si>
  <si>
    <t>kanceláře, čekárny, zasedací síně</t>
  </si>
  <si>
    <t>byty a pokoje</t>
  </si>
  <si>
    <t>garáže apod.</t>
  </si>
  <si>
    <t>učebny MŠ, herny, lehárny</t>
  </si>
  <si>
    <t>učebny ZŠ, laboratoře, družiny</t>
  </si>
  <si>
    <t>-</t>
  </si>
  <si>
    <t>není fakturováno, protože není napojeno na ČOV</t>
  </si>
  <si>
    <t>2. května 627 (626)</t>
  </si>
  <si>
    <t>L. Janáčka 9001</t>
  </si>
  <si>
    <t>Beskydská 645</t>
  </si>
  <si>
    <t>Poštovní 560</t>
  </si>
  <si>
    <t>Matiční 310</t>
  </si>
  <si>
    <t>Butovická 327</t>
  </si>
  <si>
    <t>Butovická 457</t>
  </si>
  <si>
    <t>A. Dvořáka 1</t>
  </si>
  <si>
    <t>Budovatelská 536</t>
  </si>
  <si>
    <t>Pánská 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</si>
</sst>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Kč&quot;;[Red]\-#,##0.00\ &quot;Kč&quot;"/>
    <numFmt numFmtId="43" formatCode="_-* #,##0.00_-;\-* #,##0.00_-;_-* &quot;-&quot;??_-;_-@_-"/>
    <numFmt numFmtId="164" formatCode="0.0"/>
    <numFmt numFmtId="165" formatCode="#,##0.0"/>
    <numFmt numFmtId="166" formatCode="0.000000"/>
    <numFmt numFmtId="167" formatCode="_-* #,##0_-;\-* #,##0_-;_-* &quot;-&quot;??_-;_-@_-"/>
  </numFmts>
  <fonts count="51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sz val="10"/>
      <color theme="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vertAlign val="subscript"/>
      <sz val="10"/>
      <name val="Arial CE"/>
      <charset val="238"/>
    </font>
    <font>
      <i/>
      <sz val="9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92D050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9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1" borderId="6" applyNumberFormat="0" applyAlignment="0" applyProtection="0"/>
    <xf numFmtId="0" fontId="4" fillId="3" borderId="0" applyNumberFormat="0" applyBorder="0" applyAlignment="0" applyProtection="0"/>
    <xf numFmtId="0" fontId="14" fillId="7" borderId="1" applyNumberFormat="0" applyAlignment="0" applyProtection="0"/>
    <xf numFmtId="0" fontId="13" fillId="21" borderId="6" applyNumberFormat="0" applyAlignment="0" applyProtection="0"/>
    <xf numFmtId="0" fontId="15" fillId="0" borderId="7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8" applyNumberFormat="0" applyFont="0" applyAlignment="0" applyProtection="0"/>
    <xf numFmtId="0" fontId="18" fillId="20" borderId="9" applyNumberFormat="0" applyAlignment="0" applyProtection="0"/>
    <xf numFmtId="0" fontId="7" fillId="23" borderId="8" applyNumberFormat="0" applyFont="0" applyAlignment="0" applyProtection="0"/>
    <xf numFmtId="0" fontId="15" fillId="0" borderId="7" applyNumberFormat="0" applyFill="0" applyAlignment="0" applyProtection="0"/>
    <xf numFmtId="0" fontId="9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14" fillId="7" borderId="1" applyNumberFormat="0" applyAlignment="0" applyProtection="0"/>
    <xf numFmtId="0" fontId="5" fillId="20" borderId="1" applyNumberFormat="0" applyAlignment="0" applyProtection="0"/>
    <xf numFmtId="0" fontId="18" fillId="20" borderId="9" applyNumberFormat="0" applyAlignment="0" applyProtection="0"/>
    <xf numFmtId="0" fontId="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7" fillId="0" borderId="0"/>
    <xf numFmtId="0" fontId="1" fillId="0" borderId="0"/>
    <xf numFmtId="0" fontId="38" fillId="0" borderId="0"/>
    <xf numFmtId="0" fontId="1" fillId="0" borderId="0"/>
    <xf numFmtId="0" fontId="38" fillId="23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43" fontId="47" fillId="0" borderId="0" applyFont="0" applyFill="0" applyBorder="0" applyAlignment="0" applyProtection="0"/>
  </cellStyleXfs>
  <cellXfs count="562">
    <xf numFmtId="0" fontId="0" fillId="0" borderId="0" xfId="0"/>
    <xf numFmtId="0" fontId="20" fillId="0" borderId="0" xfId="0" applyFont="1" applyAlignment="1">
      <alignment vertical="center"/>
    </xf>
    <xf numFmtId="3" fontId="1" fillId="0" borderId="10" xfId="83" applyNumberFormat="1" applyFont="1" applyBorder="1" applyAlignment="1">
      <alignment horizontal="right"/>
    </xf>
    <xf numFmtId="0" fontId="1" fillId="0" borderId="10" xfId="83" applyFont="1" applyBorder="1" applyAlignment="1">
      <alignment horizontal="right"/>
    </xf>
    <xf numFmtId="0" fontId="22" fillId="0" borderId="10" xfId="83" applyFont="1" applyFill="1" applyBorder="1" applyAlignment="1">
      <alignment horizontal="right"/>
    </xf>
    <xf numFmtId="3" fontId="22" fillId="0" borderId="10" xfId="83" applyNumberFormat="1" applyFont="1" applyFill="1" applyBorder="1" applyAlignment="1">
      <alignment horizontal="right"/>
    </xf>
    <xf numFmtId="0" fontId="21" fillId="0" borderId="10" xfId="83" applyFont="1" applyFill="1" applyBorder="1" applyAlignment="1">
      <alignment horizontal="center" vertical="center"/>
    </xf>
    <xf numFmtId="0" fontId="7" fillId="29" borderId="10" xfId="83" applyFill="1" applyBorder="1" applyAlignment="1">
      <alignment horizontal="center"/>
    </xf>
    <xf numFmtId="0" fontId="7" fillId="28" borderId="10" xfId="83" applyFill="1" applyBorder="1" applyAlignment="1">
      <alignment horizontal="center"/>
    </xf>
    <xf numFmtId="0" fontId="7" fillId="30" borderId="10" xfId="83" applyFill="1" applyBorder="1" applyAlignment="1">
      <alignment horizontal="center"/>
    </xf>
    <xf numFmtId="3" fontId="7" fillId="0" borderId="10" xfId="83" applyNumberFormat="1" applyFont="1" applyBorder="1" applyAlignment="1">
      <alignment horizontal="right"/>
    </xf>
    <xf numFmtId="3" fontId="7" fillId="0" borderId="10" xfId="83" applyNumberFormat="1" applyFont="1" applyBorder="1"/>
    <xf numFmtId="0" fontId="7" fillId="0" borderId="10" xfId="83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6" fillId="24" borderId="0" xfId="0" applyFont="1" applyFill="1" applyAlignment="1">
      <alignment vertical="center"/>
    </xf>
    <xf numFmtId="0" fontId="27" fillId="24" borderId="0" xfId="0" applyFont="1" applyFill="1" applyAlignment="1">
      <alignment vertical="center"/>
    </xf>
    <xf numFmtId="3" fontId="1" fillId="0" borderId="12" xfId="83" applyNumberFormat="1" applyFont="1" applyBorder="1" applyAlignment="1">
      <alignment horizontal="right"/>
    </xf>
    <xf numFmtId="0" fontId="1" fillId="0" borderId="0" xfId="0" applyFont="1"/>
    <xf numFmtId="1" fontId="7" fillId="0" borderId="0" xfId="0" applyNumberFormat="1" applyFont="1" applyBorder="1" applyAlignment="1">
      <alignment horizontal="right" vertical="center"/>
    </xf>
    <xf numFmtId="1" fontId="0" fillId="0" borderId="0" xfId="0" applyNumberFormat="1" applyFont="1" applyBorder="1" applyAlignment="1">
      <alignment horizontal="right" vertical="center"/>
    </xf>
    <xf numFmtId="0" fontId="1" fillId="32" borderId="10" xfId="83" applyFont="1" applyFill="1" applyBorder="1" applyAlignment="1">
      <alignment horizontal="center"/>
    </xf>
    <xf numFmtId="0" fontId="33" fillId="26" borderId="0" xfId="0" applyFont="1" applyFill="1" applyAlignment="1">
      <alignment vertical="center"/>
    </xf>
    <xf numFmtId="0" fontId="0" fillId="26" borderId="16" xfId="0" applyFill="1" applyBorder="1" applyAlignment="1">
      <alignment vertical="center"/>
    </xf>
    <xf numFmtId="164" fontId="7" fillId="26" borderId="17" xfId="0" applyNumberFormat="1" applyFont="1" applyFill="1" applyBorder="1" applyAlignment="1">
      <alignment vertical="center"/>
    </xf>
    <xf numFmtId="0" fontId="7" fillId="26" borderId="17" xfId="0" applyFont="1" applyFill="1" applyBorder="1" applyAlignment="1">
      <alignment vertical="center"/>
    </xf>
    <xf numFmtId="0" fontId="0" fillId="26" borderId="18" xfId="0" applyFill="1" applyBorder="1" applyAlignment="1">
      <alignment vertical="center"/>
    </xf>
    <xf numFmtId="3" fontId="29" fillId="0" borderId="10" xfId="0" applyNumberFormat="1" applyFont="1" applyBorder="1" applyAlignment="1">
      <alignment horizontal="right"/>
    </xf>
    <xf numFmtId="2" fontId="20" fillId="0" borderId="0" xfId="0" applyNumberFormat="1" applyFont="1" applyAlignment="1">
      <alignment vertical="center"/>
    </xf>
    <xf numFmtId="2" fontId="20" fillId="0" borderId="0" xfId="0" applyNumberFormat="1" applyFont="1" applyAlignment="1">
      <alignment horizontal="right" vertical="center"/>
    </xf>
    <xf numFmtId="2" fontId="30" fillId="0" borderId="0" xfId="0" applyNumberFormat="1" applyFont="1"/>
    <xf numFmtId="166" fontId="7" fillId="0" borderId="0" xfId="0" applyNumberFormat="1" applyFont="1" applyBorder="1" applyAlignment="1">
      <alignment horizontal="right" vertical="center"/>
    </xf>
    <xf numFmtId="1" fontId="0" fillId="0" borderId="0" xfId="0" applyNumberFormat="1"/>
    <xf numFmtId="2" fontId="22" fillId="0" borderId="0" xfId="0" applyNumberFormat="1" applyFont="1" applyAlignment="1">
      <alignment horizontal="right" vertical="center"/>
    </xf>
    <xf numFmtId="2" fontId="7" fillId="0" borderId="10" xfId="0" applyNumberFormat="1" applyFont="1" applyBorder="1" applyAlignment="1">
      <alignment horizontal="right" vertical="center"/>
    </xf>
    <xf numFmtId="1" fontId="7" fillId="0" borderId="10" xfId="0" applyNumberFormat="1" applyFont="1" applyBorder="1" applyAlignment="1">
      <alignment horizontal="right" vertical="center"/>
    </xf>
    <xf numFmtId="164" fontId="7" fillId="0" borderId="10" xfId="83" applyNumberFormat="1" applyFont="1" applyBorder="1" applyAlignment="1">
      <alignment horizontal="right" vertical="center"/>
    </xf>
    <xf numFmtId="2" fontId="7" fillId="0" borderId="10" xfId="83" applyNumberFormat="1" applyFont="1" applyBorder="1" applyAlignment="1">
      <alignment horizontal="right" vertical="center"/>
    </xf>
    <xf numFmtId="1" fontId="7" fillId="0" borderId="10" xfId="83" applyNumberFormat="1" applyFont="1" applyBorder="1" applyAlignment="1">
      <alignment horizontal="right" vertical="center"/>
    </xf>
    <xf numFmtId="1" fontId="1" fillId="0" borderId="10" xfId="0" applyNumberFormat="1" applyFont="1" applyBorder="1" applyAlignment="1">
      <alignment horizontal="right" vertical="center"/>
    </xf>
    <xf numFmtId="2" fontId="21" fillId="0" borderId="10" xfId="83" applyNumberFormat="1" applyFont="1" applyFill="1" applyBorder="1" applyAlignment="1">
      <alignment horizontal="right" vertical="center"/>
    </xf>
    <xf numFmtId="1" fontId="21" fillId="0" borderId="10" xfId="83" applyNumberFormat="1" applyFont="1" applyFill="1" applyBorder="1" applyAlignment="1">
      <alignment horizontal="right" vertical="center"/>
    </xf>
    <xf numFmtId="0" fontId="24" fillId="33" borderId="10" xfId="83" applyFont="1" applyFill="1" applyBorder="1" applyAlignment="1">
      <alignment horizontal="center" vertical="center"/>
    </xf>
    <xf numFmtId="0" fontId="7" fillId="33" borderId="10" xfId="83" applyFont="1" applyFill="1" applyBorder="1" applyAlignment="1">
      <alignment horizontal="center" vertical="center"/>
    </xf>
    <xf numFmtId="0" fontId="24" fillId="34" borderId="10" xfId="83" applyFont="1" applyFill="1" applyBorder="1" applyAlignment="1">
      <alignment horizontal="center" vertical="center"/>
    </xf>
    <xf numFmtId="0" fontId="7" fillId="34" borderId="10" xfId="83" applyFont="1" applyFill="1" applyBorder="1" applyAlignment="1">
      <alignment horizontal="center" vertical="center"/>
    </xf>
    <xf numFmtId="165" fontId="21" fillId="0" borderId="10" xfId="83" applyNumberFormat="1" applyFont="1" applyFill="1" applyBorder="1" applyAlignment="1">
      <alignment horizontal="right" vertical="center"/>
    </xf>
    <xf numFmtId="165" fontId="1" fillId="0" borderId="10" xfId="83" applyNumberFormat="1" applyFont="1" applyBorder="1" applyAlignment="1">
      <alignment horizontal="right"/>
    </xf>
    <xf numFmtId="0" fontId="0" fillId="0" borderId="19" xfId="0" applyBorder="1"/>
    <xf numFmtId="166" fontId="28" fillId="0" borderId="19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164" fontId="0" fillId="0" borderId="10" xfId="0" applyNumberFormat="1" applyBorder="1" applyAlignment="1">
      <alignment horizontal="right"/>
    </xf>
    <xf numFmtId="165" fontId="0" fillId="0" borderId="10" xfId="0" applyNumberFormat="1" applyBorder="1" applyAlignment="1">
      <alignment horizontal="right"/>
    </xf>
    <xf numFmtId="165" fontId="0" fillId="0" borderId="10" xfId="0" applyNumberFormat="1" applyBorder="1"/>
    <xf numFmtId="165" fontId="22" fillId="0" borderId="10" xfId="83" applyNumberFormat="1" applyFont="1" applyFill="1" applyBorder="1" applyAlignment="1">
      <alignment horizontal="right"/>
    </xf>
    <xf numFmtId="2" fontId="31" fillId="0" borderId="0" xfId="0" applyNumberFormat="1" applyFont="1" applyAlignment="1">
      <alignment vertical="center"/>
    </xf>
    <xf numFmtId="2" fontId="35" fillId="0" borderId="0" xfId="0" applyNumberFormat="1" applyFont="1" applyAlignment="1">
      <alignment vertical="center"/>
    </xf>
    <xf numFmtId="0" fontId="7" fillId="29" borderId="12" xfId="83" applyFill="1" applyBorder="1" applyAlignment="1">
      <alignment horizontal="center"/>
    </xf>
    <xf numFmtId="0" fontId="36" fillId="24" borderId="0" xfId="0" applyFont="1" applyFill="1" applyAlignment="1">
      <alignment horizontal="right" vertical="center"/>
    </xf>
    <xf numFmtId="0" fontId="22" fillId="32" borderId="12" xfId="83" applyFont="1" applyFill="1" applyBorder="1" applyAlignment="1">
      <alignment horizontal="center"/>
    </xf>
    <xf numFmtId="0" fontId="22" fillId="28" borderId="10" xfId="83" applyFont="1" applyFill="1" applyBorder="1" applyAlignment="1">
      <alignment horizontal="center"/>
    </xf>
    <xf numFmtId="0" fontId="22" fillId="28" borderId="12" xfId="83" applyFont="1" applyFill="1" applyBorder="1" applyAlignment="1">
      <alignment horizontal="center"/>
    </xf>
    <xf numFmtId="4" fontId="29" fillId="0" borderId="10" xfId="0" applyNumberFormat="1" applyFont="1" applyBorder="1" applyAlignment="1">
      <alignment horizontal="right"/>
    </xf>
    <xf numFmtId="4" fontId="22" fillId="0" borderId="10" xfId="83" applyNumberFormat="1" applyFont="1" applyFill="1" applyBorder="1" applyAlignment="1">
      <alignment horizontal="right"/>
    </xf>
    <xf numFmtId="0" fontId="22" fillId="32" borderId="12" xfId="83" applyFont="1" applyFill="1" applyBorder="1" applyAlignment="1">
      <alignment horizontal="center"/>
    </xf>
    <xf numFmtId="0" fontId="0" fillId="0" borderId="0" xfId="0" applyAlignment="1">
      <alignment vertical="center"/>
    </xf>
    <xf numFmtId="3" fontId="29" fillId="0" borderId="0" xfId="0" applyNumberFormat="1" applyFont="1" applyBorder="1" applyAlignment="1">
      <alignment vertical="center"/>
    </xf>
    <xf numFmtId="3" fontId="29" fillId="0" borderId="14" xfId="0" applyNumberFormat="1" applyFont="1" applyBorder="1" applyAlignment="1">
      <alignment horizontal="center" vertical="center"/>
    </xf>
    <xf numFmtId="3" fontId="29" fillId="0" borderId="20" xfId="0" applyNumberFormat="1" applyFont="1" applyBorder="1" applyAlignment="1">
      <alignment horizontal="center" vertical="center"/>
    </xf>
    <xf numFmtId="0" fontId="37" fillId="0" borderId="0" xfId="0" applyFont="1"/>
    <xf numFmtId="4" fontId="1" fillId="0" borderId="10" xfId="83" applyNumberFormat="1" applyFont="1" applyBorder="1" applyAlignment="1">
      <alignment horizontal="right"/>
    </xf>
    <xf numFmtId="4" fontId="1" fillId="0" borderId="10" xfId="83" applyNumberFormat="1" applyFont="1" applyBorder="1" applyAlignment="1">
      <alignment horizontal="right" vertical="center"/>
    </xf>
    <xf numFmtId="0" fontId="22" fillId="32" borderId="13" xfId="83" applyFont="1" applyFill="1" applyBorder="1" applyAlignment="1">
      <alignment horizontal="center"/>
    </xf>
    <xf numFmtId="3" fontId="1" fillId="0" borderId="14" xfId="83" applyNumberFormat="1" applyFont="1" applyBorder="1" applyAlignment="1">
      <alignment horizontal="right"/>
    </xf>
    <xf numFmtId="3" fontId="1" fillId="0" borderId="20" xfId="83" applyNumberFormat="1" applyFont="1" applyBorder="1" applyAlignment="1">
      <alignment horizontal="right"/>
    </xf>
    <xf numFmtId="3" fontId="1" fillId="0" borderId="15" xfId="83" applyNumberFormat="1" applyFont="1" applyBorder="1" applyAlignment="1">
      <alignment horizontal="right"/>
    </xf>
    <xf numFmtId="3" fontId="22" fillId="0" borderId="15" xfId="83" applyNumberFormat="1" applyFont="1" applyFill="1" applyBorder="1" applyAlignment="1">
      <alignment horizontal="right"/>
    </xf>
    <xf numFmtId="2" fontId="0" fillId="0" borderId="0" xfId="0" applyNumberFormat="1"/>
    <xf numFmtId="4" fontId="20" fillId="0" borderId="0" xfId="0" applyNumberFormat="1" applyFont="1" applyAlignment="1">
      <alignment vertical="center"/>
    </xf>
    <xf numFmtId="4" fontId="0" fillId="0" borderId="0" xfId="0" applyNumberFormat="1"/>
    <xf numFmtId="3" fontId="29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" fontId="29" fillId="0" borderId="14" xfId="0" applyNumberFormat="1" applyFont="1" applyBorder="1" applyAlignment="1">
      <alignment horizontal="center" vertical="center"/>
    </xf>
    <xf numFmtId="4" fontId="29" fillId="0" borderId="20" xfId="0" applyNumberFormat="1" applyFont="1" applyBorder="1" applyAlignment="1">
      <alignment horizontal="center" vertical="center"/>
    </xf>
    <xf numFmtId="4" fontId="29" fillId="0" borderId="15" xfId="0" applyNumberFormat="1" applyFont="1" applyBorder="1" applyAlignment="1">
      <alignment horizontal="center" vertical="center"/>
    </xf>
    <xf numFmtId="4" fontId="1" fillId="0" borderId="14" xfId="83" applyNumberFormat="1" applyFont="1" applyBorder="1" applyAlignment="1">
      <alignment horizontal="right"/>
    </xf>
    <xf numFmtId="4" fontId="1" fillId="0" borderId="20" xfId="83" applyNumberFormat="1" applyFont="1" applyBorder="1" applyAlignment="1">
      <alignment horizontal="right"/>
    </xf>
    <xf numFmtId="4" fontId="1" fillId="0" borderId="15" xfId="83" applyNumberFormat="1" applyFont="1" applyBorder="1" applyAlignment="1">
      <alignment horizontal="right"/>
    </xf>
    <xf numFmtId="4" fontId="1" fillId="0" borderId="14" xfId="83" applyNumberFormat="1" applyFont="1" applyBorder="1" applyAlignment="1">
      <alignment horizontal="right" vertical="center"/>
    </xf>
    <xf numFmtId="4" fontId="1" fillId="0" borderId="20" xfId="83" applyNumberFormat="1" applyFont="1" applyBorder="1" applyAlignment="1">
      <alignment horizontal="right" vertical="center"/>
    </xf>
    <xf numFmtId="3" fontId="22" fillId="0" borderId="15" xfId="83" applyNumberFormat="1" applyFont="1" applyFill="1" applyBorder="1" applyAlignment="1">
      <alignment horizontal="right" vertical="center"/>
    </xf>
    <xf numFmtId="0" fontId="22" fillId="30" borderId="0" xfId="83" applyFont="1" applyFill="1" applyBorder="1" applyAlignment="1">
      <alignment horizontal="center"/>
    </xf>
    <xf numFmtId="164" fontId="0" fillId="36" borderId="10" xfId="0" applyNumberFormat="1" applyFill="1" applyBorder="1" applyAlignment="1">
      <alignment horizontal="right"/>
    </xf>
    <xf numFmtId="3" fontId="1" fillId="36" borderId="12" xfId="83" applyNumberFormat="1" applyFont="1" applyFill="1" applyBorder="1" applyAlignment="1">
      <alignment horizontal="right"/>
    </xf>
    <xf numFmtId="2" fontId="0" fillId="36" borderId="20" xfId="0" applyNumberFormat="1" applyFill="1" applyBorder="1" applyAlignment="1">
      <alignment vertical="center"/>
    </xf>
    <xf numFmtId="2" fontId="1" fillId="36" borderId="20" xfId="83" applyNumberFormat="1" applyFont="1" applyFill="1" applyBorder="1" applyAlignment="1">
      <alignment vertical="center"/>
    </xf>
    <xf numFmtId="2" fontId="0" fillId="36" borderId="15" xfId="0" applyNumberFormat="1" applyFill="1" applyBorder="1" applyAlignment="1">
      <alignment vertical="center"/>
    </xf>
    <xf numFmtId="2" fontId="1" fillId="36" borderId="15" xfId="83" applyNumberFormat="1" applyFont="1" applyFill="1" applyBorder="1" applyAlignment="1">
      <alignment vertical="center"/>
    </xf>
    <xf numFmtId="3" fontId="29" fillId="36" borderId="10" xfId="0" applyNumberFormat="1" applyFont="1" applyFill="1" applyBorder="1" applyAlignment="1">
      <alignment horizontal="right"/>
    </xf>
    <xf numFmtId="4" fontId="29" fillId="36" borderId="10" xfId="0" applyNumberFormat="1" applyFont="1" applyFill="1" applyBorder="1" applyAlignment="1">
      <alignment horizontal="right"/>
    </xf>
    <xf numFmtId="3" fontId="1" fillId="35" borderId="12" xfId="83" applyNumberFormat="1" applyFont="1" applyFill="1" applyBorder="1" applyAlignment="1">
      <alignment horizontal="right"/>
    </xf>
    <xf numFmtId="0" fontId="1" fillId="0" borderId="0" xfId="84"/>
    <xf numFmtId="3" fontId="22" fillId="0" borderId="10" xfId="85" applyNumberFormat="1" applyFont="1" applyBorder="1" applyAlignment="1">
      <alignment horizontal="right"/>
    </xf>
    <xf numFmtId="0" fontId="22" fillId="0" borderId="10" xfId="85" applyFont="1" applyBorder="1" applyAlignment="1">
      <alignment horizontal="right"/>
    </xf>
    <xf numFmtId="3" fontId="38" fillId="0" borderId="10" xfId="85" applyNumberFormat="1" applyBorder="1"/>
    <xf numFmtId="3" fontId="38" fillId="0" borderId="10" xfId="85" applyNumberFormat="1" applyBorder="1" applyAlignment="1">
      <alignment horizontal="right"/>
    </xf>
    <xf numFmtId="3" fontId="1" fillId="0" borderId="10" xfId="85" applyNumberFormat="1" applyFont="1" applyBorder="1" applyAlignment="1">
      <alignment horizontal="right"/>
    </xf>
    <xf numFmtId="0" fontId="1" fillId="0" borderId="10" xfId="85" applyFont="1" applyBorder="1" applyAlignment="1">
      <alignment horizontal="right"/>
    </xf>
    <xf numFmtId="0" fontId="1" fillId="32" borderId="10" xfId="85" applyFont="1" applyFill="1" applyBorder="1" applyAlignment="1">
      <alignment horizontal="center"/>
    </xf>
    <xf numFmtId="0" fontId="38" fillId="29" borderId="10" xfId="85" applyFill="1" applyBorder="1" applyAlignment="1">
      <alignment horizontal="center"/>
    </xf>
    <xf numFmtId="3" fontId="29" fillId="0" borderId="10" xfId="84" applyNumberFormat="1" applyFont="1" applyBorder="1" applyAlignment="1">
      <alignment horizontal="right"/>
    </xf>
    <xf numFmtId="165" fontId="22" fillId="0" borderId="10" xfId="85" applyNumberFormat="1" applyFont="1" applyBorder="1" applyAlignment="1">
      <alignment horizontal="right"/>
    </xf>
    <xf numFmtId="3" fontId="1" fillId="0" borderId="12" xfId="85" applyNumberFormat="1" applyFont="1" applyBorder="1" applyAlignment="1">
      <alignment horizontal="right"/>
    </xf>
    <xf numFmtId="164" fontId="1" fillId="0" borderId="10" xfId="84" applyNumberFormat="1" applyBorder="1" applyAlignment="1">
      <alignment horizontal="right"/>
    </xf>
    <xf numFmtId="165" fontId="1" fillId="0" borderId="10" xfId="84" applyNumberFormat="1" applyBorder="1"/>
    <xf numFmtId="165" fontId="1" fillId="0" borderId="10" xfId="85" applyNumberFormat="1" applyFont="1" applyBorder="1" applyAlignment="1">
      <alignment horizontal="right"/>
    </xf>
    <xf numFmtId="165" fontId="1" fillId="0" borderId="10" xfId="84" applyNumberFormat="1" applyBorder="1" applyAlignment="1">
      <alignment horizontal="right"/>
    </xf>
    <xf numFmtId="0" fontId="38" fillId="29" borderId="12" xfId="85" applyFill="1" applyBorder="1" applyAlignment="1">
      <alignment horizontal="center"/>
    </xf>
    <xf numFmtId="0" fontId="20" fillId="0" borderId="0" xfId="84" applyFont="1" applyAlignment="1">
      <alignment vertical="center"/>
    </xf>
    <xf numFmtId="2" fontId="20" fillId="0" borderId="0" xfId="84" applyNumberFormat="1" applyFont="1" applyAlignment="1">
      <alignment vertical="center"/>
    </xf>
    <xf numFmtId="2" fontId="35" fillId="0" borderId="0" xfId="84" applyNumberFormat="1" applyFont="1" applyAlignment="1">
      <alignment vertical="center"/>
    </xf>
    <xf numFmtId="2" fontId="31" fillId="0" borderId="0" xfId="84" applyNumberFormat="1" applyFont="1" applyAlignment="1">
      <alignment vertical="center"/>
    </xf>
    <xf numFmtId="2" fontId="20" fillId="0" borderId="0" xfId="84" applyNumberFormat="1" applyFont="1" applyAlignment="1">
      <alignment horizontal="right" vertical="center"/>
    </xf>
    <xf numFmtId="0" fontId="27" fillId="24" borderId="0" xfId="84" applyFont="1" applyFill="1" applyAlignment="1">
      <alignment vertical="center"/>
    </xf>
    <xf numFmtId="0" fontId="26" fillId="24" borderId="0" xfId="84" applyFont="1" applyFill="1" applyAlignment="1">
      <alignment vertical="center"/>
    </xf>
    <xf numFmtId="0" fontId="33" fillId="26" borderId="0" xfId="84" applyFont="1" applyFill="1" applyAlignment="1">
      <alignment vertical="center"/>
    </xf>
    <xf numFmtId="0" fontId="38" fillId="0" borderId="0" xfId="85" applyAlignment="1">
      <alignment horizontal="center"/>
    </xf>
    <xf numFmtId="3" fontId="29" fillId="0" borderId="0" xfId="90" applyNumberFormat="1" applyFont="1" applyAlignment="1">
      <alignment horizontal="right"/>
    </xf>
    <xf numFmtId="8" fontId="40" fillId="0" borderId="0" xfId="84" applyNumberFormat="1" applyFont="1"/>
    <xf numFmtId="8" fontId="40" fillId="0" borderId="0" xfId="90" applyNumberFormat="1" applyFont="1"/>
    <xf numFmtId="0" fontId="40" fillId="0" borderId="0" xfId="84" applyFont="1" applyAlignment="1">
      <alignment horizontal="left"/>
    </xf>
    <xf numFmtId="0" fontId="39" fillId="0" borderId="0" xfId="84" applyFont="1"/>
    <xf numFmtId="0" fontId="20" fillId="0" borderId="0" xfId="84" applyFont="1"/>
    <xf numFmtId="3" fontId="29" fillId="37" borderId="10" xfId="84" applyNumberFormat="1" applyFont="1" applyFill="1" applyBorder="1" applyAlignment="1">
      <alignment horizontal="right"/>
    </xf>
    <xf numFmtId="3" fontId="41" fillId="0" borderId="10" xfId="84" applyNumberFormat="1" applyFont="1" applyBorder="1" applyAlignment="1">
      <alignment horizontal="right"/>
    </xf>
    <xf numFmtId="9" fontId="40" fillId="0" borderId="0" xfId="84" applyNumberFormat="1" applyFont="1"/>
    <xf numFmtId="14" fontId="20" fillId="0" borderId="0" xfId="84" applyNumberFormat="1" applyFont="1" applyAlignment="1">
      <alignment vertical="center"/>
    </xf>
    <xf numFmtId="0" fontId="40" fillId="0" borderId="0" xfId="84" applyFont="1"/>
    <xf numFmtId="0" fontId="40" fillId="0" borderId="0" xfId="0" applyFont="1"/>
    <xf numFmtId="14" fontId="20" fillId="0" borderId="0" xfId="0" applyNumberFormat="1" applyFont="1" applyAlignment="1">
      <alignment vertical="center"/>
    </xf>
    <xf numFmtId="3" fontId="29" fillId="40" borderId="10" xfId="0" applyNumberFormat="1" applyFont="1" applyFill="1" applyBorder="1" applyAlignment="1">
      <alignment horizontal="right"/>
    </xf>
    <xf numFmtId="0" fontId="20" fillId="0" borderId="0" xfId="0" applyFont="1"/>
    <xf numFmtId="2" fontId="20" fillId="0" borderId="0" xfId="0" applyNumberFormat="1" applyFont="1"/>
    <xf numFmtId="3" fontId="22" fillId="40" borderId="10" xfId="83" applyNumberFormat="1" applyFont="1" applyFill="1" applyBorder="1" applyAlignment="1">
      <alignment horizontal="right"/>
    </xf>
    <xf numFmtId="3" fontId="1" fillId="40" borderId="10" xfId="83" applyNumberFormat="1" applyFont="1" applyFill="1" applyBorder="1" applyAlignment="1">
      <alignment horizontal="right"/>
    </xf>
    <xf numFmtId="0" fontId="1" fillId="0" borderId="0" xfId="86"/>
    <xf numFmtId="0" fontId="20" fillId="0" borderId="0" xfId="86" applyFont="1" applyAlignment="1">
      <alignment vertical="center"/>
    </xf>
    <xf numFmtId="3" fontId="1" fillId="0" borderId="10" xfId="85" applyNumberFormat="1" applyFont="1" applyBorder="1" applyAlignment="1">
      <alignment horizontal="right"/>
    </xf>
    <xf numFmtId="0" fontId="1" fillId="0" borderId="10" xfId="85" applyFont="1" applyBorder="1" applyAlignment="1">
      <alignment horizontal="right"/>
    </xf>
    <xf numFmtId="3" fontId="22" fillId="0" borderId="10" xfId="85" applyNumberFormat="1" applyFont="1" applyFill="1" applyBorder="1" applyAlignment="1">
      <alignment horizontal="right"/>
    </xf>
    <xf numFmtId="0" fontId="38" fillId="29" borderId="10" xfId="85" applyFill="1" applyBorder="1" applyAlignment="1">
      <alignment horizontal="center"/>
    </xf>
    <xf numFmtId="0" fontId="38" fillId="28" borderId="10" xfId="85" applyFill="1" applyBorder="1" applyAlignment="1">
      <alignment horizontal="center"/>
    </xf>
    <xf numFmtId="0" fontId="38" fillId="30" borderId="10" xfId="85" applyFill="1" applyBorder="1" applyAlignment="1">
      <alignment horizontal="center"/>
    </xf>
    <xf numFmtId="3" fontId="1" fillId="0" borderId="12" xfId="85" applyNumberFormat="1" applyFont="1" applyBorder="1" applyAlignment="1">
      <alignment horizontal="right"/>
    </xf>
    <xf numFmtId="0" fontId="1" fillId="32" borderId="10" xfId="85" applyFont="1" applyFill="1" applyBorder="1" applyAlignment="1">
      <alignment horizontal="center"/>
    </xf>
    <xf numFmtId="2" fontId="20" fillId="0" borderId="0" xfId="86" applyNumberFormat="1" applyFont="1" applyAlignment="1">
      <alignment vertical="center"/>
    </xf>
    <xf numFmtId="2" fontId="22" fillId="0" borderId="0" xfId="86" applyNumberFormat="1" applyFont="1" applyAlignment="1">
      <alignment horizontal="right" vertical="center"/>
    </xf>
    <xf numFmtId="165" fontId="1" fillId="0" borderId="10" xfId="85" applyNumberFormat="1" applyFont="1" applyBorder="1" applyAlignment="1">
      <alignment horizontal="right"/>
    </xf>
    <xf numFmtId="0" fontId="38" fillId="29" borderId="12" xfId="85" applyFill="1" applyBorder="1" applyAlignment="1">
      <alignment horizontal="center"/>
    </xf>
    <xf numFmtId="0" fontId="40" fillId="0" borderId="0" xfId="86" applyFont="1"/>
    <xf numFmtId="0" fontId="1" fillId="0" borderId="0" xfId="84"/>
    <xf numFmtId="0" fontId="20" fillId="0" borderId="0" xfId="84" applyFont="1" applyAlignment="1">
      <alignment vertical="center"/>
    </xf>
    <xf numFmtId="0" fontId="26" fillId="24" borderId="0" xfId="84" applyFont="1" applyFill="1" applyAlignment="1">
      <alignment vertical="center"/>
    </xf>
    <xf numFmtId="0" fontId="27" fillId="24" borderId="0" xfId="84" applyFont="1" applyFill="1" applyAlignment="1">
      <alignment vertical="center"/>
    </xf>
    <xf numFmtId="0" fontId="33" fillId="26" borderId="0" xfId="84" applyFont="1" applyFill="1" applyAlignment="1">
      <alignment vertical="center"/>
    </xf>
    <xf numFmtId="2" fontId="20" fillId="0" borderId="0" xfId="84" applyNumberFormat="1" applyFont="1" applyAlignment="1">
      <alignment horizontal="right" vertical="center"/>
    </xf>
    <xf numFmtId="2" fontId="30" fillId="0" borderId="0" xfId="84" applyNumberFormat="1" applyFont="1"/>
    <xf numFmtId="2" fontId="22" fillId="0" borderId="0" xfId="84" applyNumberFormat="1" applyFont="1" applyAlignment="1">
      <alignment horizontal="right" vertical="center"/>
    </xf>
    <xf numFmtId="165" fontId="1" fillId="0" borderId="10" xfId="84" applyNumberFormat="1" applyBorder="1" applyAlignment="1">
      <alignment horizontal="right"/>
    </xf>
    <xf numFmtId="165" fontId="1" fillId="0" borderId="10" xfId="84" applyNumberFormat="1" applyBorder="1"/>
    <xf numFmtId="2" fontId="31" fillId="0" borderId="0" xfId="84" applyNumberFormat="1" applyFont="1" applyAlignment="1">
      <alignment vertical="center"/>
    </xf>
    <xf numFmtId="2" fontId="35" fillId="0" borderId="0" xfId="84" applyNumberFormat="1" applyFont="1" applyAlignment="1">
      <alignment vertical="center"/>
    </xf>
    <xf numFmtId="0" fontId="36" fillId="24" borderId="0" xfId="84" applyFont="1" applyFill="1" applyAlignment="1">
      <alignment horizontal="right" vertical="center"/>
    </xf>
    <xf numFmtId="0" fontId="40" fillId="37" borderId="0" xfId="84" applyFont="1" applyFill="1"/>
    <xf numFmtId="0" fontId="1" fillId="37" borderId="0" xfId="84" applyFill="1"/>
    <xf numFmtId="0" fontId="1" fillId="0" borderId="0" xfId="90"/>
    <xf numFmtId="0" fontId="20" fillId="0" borderId="0" xfId="90" applyFont="1" applyAlignment="1">
      <alignment vertical="center"/>
    </xf>
    <xf numFmtId="0" fontId="26" fillId="24" borderId="0" xfId="90" applyFont="1" applyFill="1" applyAlignment="1">
      <alignment vertical="center"/>
    </xf>
    <xf numFmtId="0" fontId="27" fillId="24" borderId="0" xfId="90" applyFont="1" applyFill="1" applyAlignment="1">
      <alignment vertical="center"/>
    </xf>
    <xf numFmtId="0" fontId="33" fillId="26" borderId="0" xfId="90" applyFont="1" applyFill="1" applyAlignment="1">
      <alignment vertical="center"/>
    </xf>
    <xf numFmtId="3" fontId="29" fillId="0" borderId="10" xfId="90" applyNumberFormat="1" applyFont="1" applyBorder="1" applyAlignment="1">
      <alignment horizontal="right"/>
    </xf>
    <xf numFmtId="2" fontId="20" fillId="0" borderId="0" xfId="90" applyNumberFormat="1" applyFont="1" applyAlignment="1">
      <alignment vertical="center"/>
    </xf>
    <xf numFmtId="2" fontId="20" fillId="0" borderId="0" xfId="90" applyNumberFormat="1" applyFont="1" applyAlignment="1">
      <alignment horizontal="right" vertical="center"/>
    </xf>
    <xf numFmtId="2" fontId="30" fillId="0" borderId="0" xfId="90" applyNumberFormat="1" applyFont="1"/>
    <xf numFmtId="2" fontId="22" fillId="0" borderId="0" xfId="90" applyNumberFormat="1" applyFont="1" applyAlignment="1">
      <alignment horizontal="right" vertical="center"/>
    </xf>
    <xf numFmtId="164" fontId="1" fillId="0" borderId="10" xfId="90" applyNumberFormat="1" applyBorder="1" applyAlignment="1">
      <alignment horizontal="right"/>
    </xf>
    <xf numFmtId="165" fontId="1" fillId="0" borderId="10" xfId="90" applyNumberFormat="1" applyBorder="1" applyAlignment="1">
      <alignment horizontal="right"/>
    </xf>
    <xf numFmtId="165" fontId="1" fillId="0" borderId="10" xfId="90" applyNumberFormat="1" applyBorder="1"/>
    <xf numFmtId="2" fontId="31" fillId="0" borderId="0" xfId="90" applyNumberFormat="1" applyFont="1" applyAlignment="1">
      <alignment vertical="center"/>
    </xf>
    <xf numFmtId="0" fontId="36" fillId="24" borderId="0" xfId="90" applyFont="1" applyFill="1" applyAlignment="1">
      <alignment horizontal="right" vertical="center"/>
    </xf>
    <xf numFmtId="0" fontId="40" fillId="0" borderId="0" xfId="90" applyFont="1"/>
    <xf numFmtId="0" fontId="40" fillId="37" borderId="0" xfId="90" applyFont="1" applyFill="1"/>
    <xf numFmtId="0" fontId="1" fillId="37" borderId="0" xfId="90" applyFill="1"/>
    <xf numFmtId="0" fontId="39" fillId="0" borderId="0" xfId="90" applyFont="1"/>
    <xf numFmtId="0" fontId="40" fillId="0" borderId="0" xfId="90" applyFont="1" applyAlignment="1">
      <alignment horizontal="center"/>
    </xf>
    <xf numFmtId="3" fontId="1" fillId="0" borderId="0" xfId="90" applyNumberFormat="1"/>
    <xf numFmtId="0" fontId="40" fillId="38" borderId="0" xfId="90" applyFont="1" applyFill="1"/>
    <xf numFmtId="0" fontId="1" fillId="38" borderId="0" xfId="90" applyFill="1"/>
    <xf numFmtId="14" fontId="20" fillId="0" borderId="0" xfId="86" applyNumberFormat="1" applyFont="1" applyAlignment="1">
      <alignment vertical="center"/>
    </xf>
    <xf numFmtId="0" fontId="20" fillId="0" borderId="0" xfId="90" applyFont="1"/>
    <xf numFmtId="3" fontId="29" fillId="41" borderId="10" xfId="84" applyNumberFormat="1" applyFont="1" applyFill="1" applyBorder="1" applyAlignment="1">
      <alignment horizontal="right"/>
    </xf>
    <xf numFmtId="3" fontId="22" fillId="0" borderId="0" xfId="85" applyNumberFormat="1" applyFont="1" applyAlignment="1">
      <alignment horizontal="right"/>
    </xf>
    <xf numFmtId="3" fontId="1" fillId="0" borderId="0" xfId="85" applyNumberFormat="1" applyFont="1" applyAlignment="1">
      <alignment horizontal="right"/>
    </xf>
    <xf numFmtId="164" fontId="1" fillId="0" borderId="0" xfId="84" applyNumberFormat="1" applyAlignment="1">
      <alignment horizontal="right"/>
    </xf>
    <xf numFmtId="2" fontId="20" fillId="0" borderId="0" xfId="84" applyNumberFormat="1" applyFont="1"/>
    <xf numFmtId="0" fontId="36" fillId="24" borderId="21" xfId="0" applyFont="1" applyFill="1" applyBorder="1" applyAlignment="1">
      <alignment horizontal="right" vertical="center"/>
    </xf>
    <xf numFmtId="14" fontId="20" fillId="0" borderId="0" xfId="0" applyNumberFormat="1" applyFont="1"/>
    <xf numFmtId="0" fontId="43" fillId="39" borderId="0" xfId="84" applyFont="1" applyFill="1"/>
    <xf numFmtId="0" fontId="42" fillId="39" borderId="0" xfId="84" applyFont="1" applyFill="1" applyAlignment="1">
      <alignment vertical="center"/>
    </xf>
    <xf numFmtId="0" fontId="33" fillId="26" borderId="0" xfId="84" applyFont="1" applyFill="1" applyAlignment="1">
      <alignment horizontal="left" vertical="center"/>
    </xf>
    <xf numFmtId="0" fontId="44" fillId="28" borderId="0" xfId="0" applyFont="1" applyFill="1" applyAlignment="1">
      <alignment vertical="center"/>
    </xf>
    <xf numFmtId="2" fontId="30" fillId="28" borderId="0" xfId="0" applyNumberFormat="1" applyFont="1" applyFill="1"/>
    <xf numFmtId="0" fontId="45" fillId="0" borderId="0" xfId="0" applyFont="1"/>
    <xf numFmtId="0" fontId="45" fillId="0" borderId="0" xfId="0" applyFont="1" applyAlignment="1">
      <alignment vertical="center"/>
    </xf>
    <xf numFmtId="14" fontId="20" fillId="0" borderId="0" xfId="0" applyNumberFormat="1" applyFont="1" applyAlignment="1">
      <alignment horizontal="left"/>
    </xf>
    <xf numFmtId="3" fontId="1" fillId="0" borderId="10" xfId="85" applyNumberFormat="1" applyFont="1" applyBorder="1" applyAlignment="1">
      <alignment horizontal="center"/>
    </xf>
    <xf numFmtId="3" fontId="29" fillId="0" borderId="20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horizontal="center" vertical="center"/>
    </xf>
    <xf numFmtId="3" fontId="29" fillId="0" borderId="14" xfId="0" applyNumberFormat="1" applyFont="1" applyBorder="1" applyAlignment="1">
      <alignment horizontal="center"/>
    </xf>
    <xf numFmtId="1" fontId="1" fillId="0" borderId="10" xfId="83" applyNumberFormat="1" applyFont="1" applyBorder="1" applyAlignment="1">
      <alignment horizontal="center" vertical="center"/>
    </xf>
    <xf numFmtId="1" fontId="1" fillId="0" borderId="14" xfId="83" applyNumberFormat="1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center" vertical="center"/>
    </xf>
    <xf numFmtId="1" fontId="1" fillId="0" borderId="20" xfId="83" applyNumberFormat="1" applyFont="1" applyBorder="1" applyAlignment="1">
      <alignment horizontal="center" vertical="center"/>
    </xf>
    <xf numFmtId="1" fontId="37" fillId="0" borderId="0" xfId="0" applyNumberFormat="1" applyFont="1"/>
    <xf numFmtId="1" fontId="29" fillId="0" borderId="20" xfId="0" applyNumberFormat="1" applyFont="1" applyBorder="1" applyAlignment="1">
      <alignment horizontal="center" vertical="center"/>
    </xf>
    <xf numFmtId="1" fontId="22" fillId="0" borderId="10" xfId="83" applyNumberFormat="1" applyFont="1" applyFill="1" applyBorder="1" applyAlignment="1">
      <alignment horizontal="right"/>
    </xf>
    <xf numFmtId="3" fontId="37" fillId="0" borderId="0" xfId="0" applyNumberFormat="1" applyFont="1"/>
    <xf numFmtId="3" fontId="0" fillId="0" borderId="0" xfId="0" applyNumberFormat="1"/>
    <xf numFmtId="3" fontId="0" fillId="36" borderId="10" xfId="0" applyNumberFormat="1" applyFill="1" applyBorder="1" applyAlignment="1">
      <alignment horizontal="right"/>
    </xf>
    <xf numFmtId="3" fontId="29" fillId="0" borderId="10" xfId="84" applyNumberFormat="1" applyFont="1" applyBorder="1" applyAlignment="1">
      <alignment horizontal="right" vertical="center"/>
    </xf>
    <xf numFmtId="0" fontId="22" fillId="30" borderId="10" xfId="83" applyFont="1" applyFill="1" applyBorder="1" applyAlignment="1">
      <alignment horizontal="center"/>
    </xf>
    <xf numFmtId="0" fontId="22" fillId="28" borderId="10" xfId="83" applyFont="1" applyFill="1" applyBorder="1" applyAlignment="1">
      <alignment horizontal="center"/>
    </xf>
    <xf numFmtId="0" fontId="22" fillId="28" borderId="12" xfId="83" applyFont="1" applyFill="1" applyBorder="1" applyAlignment="1">
      <alignment horizontal="center"/>
    </xf>
    <xf numFmtId="3" fontId="29" fillId="35" borderId="10" xfId="84" applyNumberFormat="1" applyFont="1" applyFill="1" applyBorder="1" applyAlignment="1">
      <alignment horizontal="right"/>
    </xf>
    <xf numFmtId="0" fontId="46" fillId="28" borderId="12" xfId="83" applyFont="1" applyFill="1" applyBorder="1" applyAlignment="1">
      <alignment horizontal="center"/>
    </xf>
    <xf numFmtId="3" fontId="22" fillId="0" borderId="0" xfId="83" applyNumberFormat="1" applyFont="1" applyFill="1" applyBorder="1" applyAlignment="1">
      <alignment horizontal="right"/>
    </xf>
    <xf numFmtId="3" fontId="1" fillId="35" borderId="10" xfId="83" applyNumberFormat="1" applyFont="1" applyFill="1" applyBorder="1" applyAlignment="1">
      <alignment horizontal="right"/>
    </xf>
    <xf numFmtId="3" fontId="22" fillId="35" borderId="10" xfId="83" applyNumberFormat="1" applyFont="1" applyFill="1" applyBorder="1" applyAlignment="1">
      <alignment horizontal="right"/>
    </xf>
    <xf numFmtId="3" fontId="29" fillId="40" borderId="14" xfId="0" applyNumberFormat="1" applyFont="1" applyFill="1" applyBorder="1" applyAlignment="1">
      <alignment horizontal="right"/>
    </xf>
    <xf numFmtId="3" fontId="29" fillId="40" borderId="20" xfId="0" applyNumberFormat="1" applyFont="1" applyFill="1" applyBorder="1" applyAlignment="1">
      <alignment horizontal="right"/>
    </xf>
    <xf numFmtId="3" fontId="29" fillId="40" borderId="15" xfId="0" applyNumberFormat="1" applyFont="1" applyFill="1" applyBorder="1" applyAlignment="1">
      <alignment horizontal="right"/>
    </xf>
    <xf numFmtId="3" fontId="29" fillId="35" borderId="15" xfId="0" applyNumberFormat="1" applyFont="1" applyFill="1" applyBorder="1" applyAlignment="1">
      <alignment vertical="center"/>
    </xf>
    <xf numFmtId="0" fontId="7" fillId="30" borderId="0" xfId="83" applyFill="1" applyBorder="1" applyAlignment="1">
      <alignment horizontal="center"/>
    </xf>
    <xf numFmtId="3" fontId="1" fillId="0" borderId="0" xfId="83" applyNumberFormat="1" applyFont="1" applyBorder="1" applyAlignment="1">
      <alignment horizontal="right"/>
    </xf>
    <xf numFmtId="3" fontId="7" fillId="0" borderId="0" xfId="83" applyNumberFormat="1" applyFont="1" applyBorder="1"/>
    <xf numFmtId="167" fontId="1" fillId="0" borderId="10" xfId="91" applyNumberFormat="1" applyFont="1" applyBorder="1" applyAlignment="1">
      <alignment horizontal="center" vertical="center"/>
    </xf>
    <xf numFmtId="167" fontId="1" fillId="0" borderId="10" xfId="91" applyNumberFormat="1" applyFont="1" applyBorder="1" applyAlignment="1"/>
    <xf numFmtId="167" fontId="1" fillId="0" borderId="20" xfId="91" applyNumberFormat="1" applyFont="1" applyBorder="1" applyAlignment="1">
      <alignment horizontal="right"/>
    </xf>
    <xf numFmtId="167" fontId="29" fillId="0" borderId="14" xfId="91" applyNumberFormat="1" applyFont="1" applyBorder="1" applyAlignment="1">
      <alignment horizontal="center" vertical="center"/>
    </xf>
    <xf numFmtId="167" fontId="37" fillId="0" borderId="0" xfId="91" applyNumberFormat="1" applyFont="1"/>
    <xf numFmtId="167" fontId="0" fillId="0" borderId="0" xfId="91" applyNumberFormat="1" applyFont="1"/>
    <xf numFmtId="167" fontId="29" fillId="0" borderId="20" xfId="91" applyNumberFormat="1" applyFont="1" applyBorder="1" applyAlignment="1">
      <alignment horizontal="center" vertical="center"/>
    </xf>
    <xf numFmtId="167" fontId="22" fillId="0" borderId="10" xfId="91" applyNumberFormat="1" applyFont="1" applyFill="1" applyBorder="1" applyAlignment="1">
      <alignment horizontal="right"/>
    </xf>
    <xf numFmtId="167" fontId="22" fillId="0" borderId="15" xfId="91" applyNumberFormat="1" applyFont="1" applyFill="1" applyBorder="1" applyAlignment="1">
      <alignment horizontal="right"/>
    </xf>
    <xf numFmtId="167" fontId="29" fillId="0" borderId="15" xfId="91" applyNumberFormat="1" applyFont="1" applyBorder="1" applyAlignment="1">
      <alignment horizontal="center" vertical="center"/>
    </xf>
    <xf numFmtId="3" fontId="1" fillId="0" borderId="10" xfId="83" applyNumberFormat="1" applyFont="1" applyFill="1" applyBorder="1" applyAlignment="1">
      <alignment horizontal="right"/>
    </xf>
    <xf numFmtId="3" fontId="29" fillId="35" borderId="10" xfId="0" applyNumberFormat="1" applyFont="1" applyFill="1" applyBorder="1" applyAlignment="1">
      <alignment horizontal="right"/>
    </xf>
    <xf numFmtId="167" fontId="22" fillId="0" borderId="10" xfId="91" applyNumberFormat="1" applyFont="1" applyBorder="1" applyAlignment="1">
      <alignment horizontal="right"/>
    </xf>
    <xf numFmtId="167" fontId="1" fillId="0" borderId="10" xfId="91" applyNumberFormat="1" applyFont="1" applyBorder="1" applyAlignment="1">
      <alignment horizontal="right"/>
    </xf>
    <xf numFmtId="167" fontId="1" fillId="0" borderId="12" xfId="91" applyNumberFormat="1" applyFont="1" applyBorder="1" applyAlignment="1">
      <alignment horizontal="right"/>
    </xf>
    <xf numFmtId="167" fontId="1" fillId="0" borderId="10" xfId="91" applyNumberFormat="1" applyFont="1" applyBorder="1"/>
    <xf numFmtId="167" fontId="0" fillId="0" borderId="10" xfId="91" applyNumberFormat="1" applyFont="1" applyBorder="1" applyAlignment="1">
      <alignment horizontal="right"/>
    </xf>
    <xf numFmtId="167" fontId="0" fillId="0" borderId="10" xfId="91" applyNumberFormat="1" applyFont="1" applyBorder="1"/>
    <xf numFmtId="167" fontId="22" fillId="35" borderId="10" xfId="91" applyNumberFormat="1" applyFont="1" applyFill="1" applyBorder="1" applyAlignment="1">
      <alignment horizontal="right"/>
    </xf>
    <xf numFmtId="167" fontId="1" fillId="0" borderId="20" xfId="91" applyNumberFormat="1" applyFont="1" applyFill="1" applyBorder="1" applyAlignment="1">
      <alignment horizontal="right"/>
    </xf>
    <xf numFmtId="167" fontId="22" fillId="0" borderId="10" xfId="91" applyNumberFormat="1" applyFont="1" applyBorder="1" applyAlignment="1">
      <alignment horizontal="right" vertical="center"/>
    </xf>
    <xf numFmtId="167" fontId="29" fillId="0" borderId="10" xfId="91" applyNumberFormat="1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1" fillId="0" borderId="22" xfId="0" applyFont="1" applyBorder="1"/>
    <xf numFmtId="0" fontId="0" fillId="0" borderId="23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/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1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1" fillId="0" borderId="11" xfId="83" applyFont="1" applyBorder="1" applyAlignment="1">
      <alignment horizontal="right"/>
    </xf>
    <xf numFmtId="0" fontId="22" fillId="0" borderId="11" xfId="83" applyFont="1" applyFill="1" applyBorder="1" applyAlignment="1">
      <alignment horizontal="right"/>
    </xf>
    <xf numFmtId="0" fontId="7" fillId="28" borderId="22" xfId="83" applyFill="1" applyBorder="1" applyAlignment="1">
      <alignment horizontal="center"/>
    </xf>
    <xf numFmtId="0" fontId="7" fillId="28" borderId="23" xfId="83" applyFill="1" applyBorder="1" applyAlignment="1">
      <alignment horizontal="center"/>
    </xf>
    <xf numFmtId="3" fontId="22" fillId="0" borderId="24" xfId="83" applyNumberFormat="1" applyFont="1" applyFill="1" applyBorder="1" applyAlignment="1">
      <alignment horizontal="right"/>
    </xf>
    <xf numFmtId="3" fontId="22" fillId="0" borderId="25" xfId="83" applyNumberFormat="1" applyFont="1" applyFill="1" applyBorder="1" applyAlignment="1">
      <alignment horizontal="right"/>
    </xf>
    <xf numFmtId="3" fontId="22" fillId="0" borderId="26" xfId="83" applyNumberFormat="1" applyFont="1" applyFill="1" applyBorder="1" applyAlignment="1">
      <alignment horizontal="right"/>
    </xf>
    <xf numFmtId="0" fontId="49" fillId="28" borderId="22" xfId="83" applyFont="1" applyFill="1" applyBorder="1" applyAlignment="1">
      <alignment horizontal="center"/>
    </xf>
    <xf numFmtId="0" fontId="49" fillId="28" borderId="10" xfId="83" applyFont="1" applyFill="1" applyBorder="1" applyAlignment="1">
      <alignment horizontal="center"/>
    </xf>
    <xf numFmtId="0" fontId="49" fillId="28" borderId="23" xfId="83" applyFont="1" applyFill="1" applyBorder="1" applyAlignment="1">
      <alignment horizontal="center"/>
    </xf>
    <xf numFmtId="3" fontId="50" fillId="0" borderId="10" xfId="0" applyNumberFormat="1" applyFont="1" applyBorder="1" applyAlignment="1">
      <alignment horizontal="right"/>
    </xf>
    <xf numFmtId="3" fontId="48" fillId="0" borderId="24" xfId="83" applyNumberFormat="1" applyFont="1" applyFill="1" applyBorder="1" applyAlignment="1">
      <alignment horizontal="right"/>
    </xf>
    <xf numFmtId="3" fontId="48" fillId="0" borderId="25" xfId="83" applyNumberFormat="1" applyFont="1" applyFill="1" applyBorder="1" applyAlignment="1">
      <alignment horizontal="right"/>
    </xf>
    <xf numFmtId="3" fontId="48" fillId="0" borderId="26" xfId="83" applyNumberFormat="1" applyFont="1" applyFill="1" applyBorder="1" applyAlignment="1">
      <alignment horizontal="right"/>
    </xf>
    <xf numFmtId="167" fontId="29" fillId="0" borderId="14" xfId="91" applyNumberFormat="1" applyFont="1" applyBorder="1" applyAlignment="1">
      <alignment horizontal="center" vertical="center"/>
    </xf>
    <xf numFmtId="167" fontId="29" fillId="0" borderId="20" xfId="91" applyNumberFormat="1" applyFont="1" applyBorder="1" applyAlignment="1">
      <alignment horizontal="center" vertical="center"/>
    </xf>
    <xf numFmtId="167" fontId="29" fillId="0" borderId="15" xfId="91" applyNumberFormat="1" applyFon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1" fillId="0" borderId="14" xfId="83" applyNumberFormat="1" applyFont="1" applyBorder="1" applyAlignment="1">
      <alignment horizontal="center" vertical="center"/>
    </xf>
    <xf numFmtId="1" fontId="1" fillId="0" borderId="20" xfId="83" applyNumberFormat="1" applyFont="1" applyBorder="1" applyAlignment="1">
      <alignment horizontal="center" vertical="center"/>
    </xf>
    <xf numFmtId="1" fontId="1" fillId="0" borderId="15" xfId="83" applyNumberFormat="1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center" vertical="center"/>
    </xf>
    <xf numFmtId="1" fontId="29" fillId="0" borderId="20" xfId="0" applyNumberFormat="1" applyFont="1" applyBorder="1" applyAlignment="1">
      <alignment horizontal="center" vertical="center"/>
    </xf>
    <xf numFmtId="0" fontId="22" fillId="28" borderId="11" xfId="83" applyFont="1" applyFill="1" applyBorder="1" applyAlignment="1">
      <alignment horizontal="center"/>
    </xf>
    <xf numFmtId="0" fontId="22" fillId="28" borderId="13" xfId="83" applyFont="1" applyFill="1" applyBorder="1" applyAlignment="1">
      <alignment horizontal="center"/>
    </xf>
    <xf numFmtId="0" fontId="22" fillId="28" borderId="12" xfId="83" applyFont="1" applyFill="1" applyBorder="1" applyAlignment="1">
      <alignment horizontal="center"/>
    </xf>
    <xf numFmtId="3" fontId="29" fillId="0" borderId="14" xfId="0" applyNumberFormat="1" applyFont="1" applyBorder="1" applyAlignment="1">
      <alignment horizontal="center"/>
    </xf>
    <xf numFmtId="3" fontId="29" fillId="0" borderId="20" xfId="0" applyNumberFormat="1" applyFont="1" applyBorder="1" applyAlignment="1">
      <alignment horizontal="center"/>
    </xf>
    <xf numFmtId="3" fontId="29" fillId="0" borderId="15" xfId="0" applyNumberFormat="1" applyFont="1" applyBorder="1" applyAlignment="1">
      <alignment horizontal="center"/>
    </xf>
    <xf numFmtId="1" fontId="29" fillId="0" borderId="15" xfId="0" applyNumberFormat="1" applyFont="1" applyBorder="1" applyAlignment="1">
      <alignment horizontal="center" vertical="center"/>
    </xf>
    <xf numFmtId="3" fontId="29" fillId="0" borderId="14" xfId="0" applyNumberFormat="1" applyFont="1" applyBorder="1" applyAlignment="1">
      <alignment horizontal="center" vertical="center"/>
    </xf>
    <xf numFmtId="3" fontId="29" fillId="0" borderId="20" xfId="0" applyNumberFormat="1" applyFont="1" applyBorder="1" applyAlignment="1">
      <alignment horizontal="center" vertical="center"/>
    </xf>
    <xf numFmtId="0" fontId="32" fillId="26" borderId="14" xfId="83" applyFont="1" applyFill="1" applyBorder="1" applyAlignment="1">
      <alignment horizontal="center" vertical="center"/>
    </xf>
    <xf numFmtId="0" fontId="32" fillId="26" borderId="20" xfId="83" applyFont="1" applyFill="1" applyBorder="1" applyAlignment="1">
      <alignment horizontal="center" vertical="center"/>
    </xf>
    <xf numFmtId="0" fontId="32" fillId="26" borderId="15" xfId="83" applyFont="1" applyFill="1" applyBorder="1" applyAlignment="1">
      <alignment horizontal="center" vertical="center"/>
    </xf>
    <xf numFmtId="0" fontId="22" fillId="25" borderId="12" xfId="83" applyFont="1" applyFill="1" applyBorder="1" applyAlignment="1">
      <alignment horizontal="center"/>
    </xf>
    <xf numFmtId="0" fontId="22" fillId="25" borderId="10" xfId="83" applyFont="1" applyFill="1" applyBorder="1" applyAlignment="1">
      <alignment horizontal="center"/>
    </xf>
    <xf numFmtId="0" fontId="22" fillId="32" borderId="11" xfId="83" applyFont="1" applyFill="1" applyBorder="1" applyAlignment="1">
      <alignment horizontal="center"/>
    </xf>
    <xf numFmtId="0" fontId="22" fillId="32" borderId="12" xfId="83" applyFont="1" applyFill="1" applyBorder="1" applyAlignment="1">
      <alignment horizontal="center"/>
    </xf>
    <xf numFmtId="0" fontId="22" fillId="27" borderId="10" xfId="83" applyFont="1" applyFill="1" applyBorder="1" applyAlignment="1">
      <alignment horizontal="center" vertical="center" wrapText="1"/>
    </xf>
    <xf numFmtId="0" fontId="22" fillId="29" borderId="10" xfId="83" applyFont="1" applyFill="1" applyBorder="1" applyAlignment="1">
      <alignment horizontal="center"/>
    </xf>
    <xf numFmtId="0" fontId="22" fillId="30" borderId="10" xfId="83" applyFont="1" applyFill="1" applyBorder="1" applyAlignment="1">
      <alignment horizontal="center"/>
    </xf>
    <xf numFmtId="3" fontId="1" fillId="0" borderId="14" xfId="83" applyNumberFormat="1" applyFont="1" applyBorder="1" applyAlignment="1">
      <alignment horizontal="center" vertical="center"/>
    </xf>
    <xf numFmtId="3" fontId="1" fillId="0" borderId="20" xfId="83" applyNumberFormat="1" applyFont="1" applyBorder="1" applyAlignment="1">
      <alignment horizontal="center" vertical="center"/>
    </xf>
    <xf numFmtId="3" fontId="1" fillId="0" borderId="15" xfId="83" applyNumberFormat="1" applyFont="1" applyBorder="1" applyAlignment="1">
      <alignment horizontal="center" vertical="center"/>
    </xf>
    <xf numFmtId="167" fontId="0" fillId="0" borderId="14" xfId="91" applyNumberFormat="1" applyFont="1" applyBorder="1" applyAlignment="1">
      <alignment horizontal="center" vertical="center"/>
    </xf>
    <xf numFmtId="167" fontId="0" fillId="0" borderId="20" xfId="91" applyNumberFormat="1" applyFont="1" applyBorder="1" applyAlignment="1">
      <alignment horizontal="center" vertical="center"/>
    </xf>
    <xf numFmtId="167" fontId="0" fillId="0" borderId="15" xfId="91" applyNumberFormat="1" applyFont="1" applyBorder="1" applyAlignment="1">
      <alignment horizontal="center" vertical="center"/>
    </xf>
    <xf numFmtId="167" fontId="1" fillId="0" borderId="14" xfId="91" applyNumberFormat="1" applyFont="1" applyBorder="1" applyAlignment="1">
      <alignment horizontal="center" vertical="center"/>
    </xf>
    <xf numFmtId="167" fontId="1" fillId="0" borderId="20" xfId="91" applyNumberFormat="1" applyFont="1" applyBorder="1" applyAlignment="1">
      <alignment horizontal="center" vertical="center"/>
    </xf>
    <xf numFmtId="167" fontId="1" fillId="0" borderId="15" xfId="91" applyNumberFormat="1" applyFon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0" fontId="22" fillId="28" borderId="10" xfId="83" applyFont="1" applyFill="1" applyBorder="1" applyAlignment="1">
      <alignment horizontal="center"/>
    </xf>
    <xf numFmtId="2" fontId="1" fillId="0" borderId="14" xfId="83" applyNumberFormat="1" applyFont="1" applyBorder="1" applyAlignment="1">
      <alignment horizontal="center" vertical="center"/>
    </xf>
    <xf numFmtId="2" fontId="1" fillId="0" borderId="20" xfId="83" applyNumberFormat="1" applyFont="1" applyBorder="1" applyAlignment="1">
      <alignment horizontal="center" vertical="center"/>
    </xf>
    <xf numFmtId="2" fontId="1" fillId="0" borderId="15" xfId="83" applyNumberFormat="1" applyFon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4" fontId="1" fillId="0" borderId="14" xfId="83" applyNumberFormat="1" applyFont="1" applyBorder="1" applyAlignment="1">
      <alignment horizontal="center" vertical="center"/>
    </xf>
    <xf numFmtId="4" fontId="1" fillId="0" borderId="20" xfId="83" applyNumberFormat="1" applyFont="1" applyBorder="1" applyAlignment="1">
      <alignment horizontal="center" vertical="center"/>
    </xf>
    <xf numFmtId="4" fontId="1" fillId="0" borderId="15" xfId="83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horizontal="center" vertical="center"/>
    </xf>
    <xf numFmtId="4" fontId="29" fillId="0" borderId="20" xfId="0" applyNumberFormat="1" applyFont="1" applyBorder="1" applyAlignment="1">
      <alignment horizontal="center" vertical="center"/>
    </xf>
    <xf numFmtId="4" fontId="29" fillId="0" borderId="15" xfId="0" applyNumberFormat="1" applyFont="1" applyBorder="1" applyAlignment="1">
      <alignment horizontal="center" vertical="center"/>
    </xf>
    <xf numFmtId="0" fontId="40" fillId="32" borderId="11" xfId="85" applyFont="1" applyFill="1" applyBorder="1" applyAlignment="1">
      <alignment horizontal="center"/>
    </xf>
    <xf numFmtId="0" fontId="22" fillId="32" borderId="12" xfId="85" applyFont="1" applyFill="1" applyBorder="1" applyAlignment="1">
      <alignment horizontal="center"/>
    </xf>
    <xf numFmtId="0" fontId="40" fillId="28" borderId="11" xfId="85" applyFont="1" applyFill="1" applyBorder="1" applyAlignment="1">
      <alignment horizontal="center"/>
    </xf>
    <xf numFmtId="0" fontId="39" fillId="28" borderId="13" xfId="85" applyFont="1" applyFill="1" applyBorder="1" applyAlignment="1">
      <alignment horizontal="center"/>
    </xf>
    <xf numFmtId="0" fontId="39" fillId="28" borderId="12" xfId="85" applyFont="1" applyFill="1" applyBorder="1" applyAlignment="1">
      <alignment horizontal="center"/>
    </xf>
    <xf numFmtId="0" fontId="22" fillId="32" borderId="11" xfId="85" applyFont="1" applyFill="1" applyBorder="1" applyAlignment="1">
      <alignment horizontal="center"/>
    </xf>
    <xf numFmtId="0" fontId="22" fillId="28" borderId="11" xfId="85" applyFont="1" applyFill="1" applyBorder="1" applyAlignment="1">
      <alignment horizontal="center"/>
    </xf>
    <xf numFmtId="0" fontId="22" fillId="28" borderId="13" xfId="85" applyFont="1" applyFill="1" applyBorder="1" applyAlignment="1">
      <alignment horizontal="center"/>
    </xf>
    <xf numFmtId="0" fontId="22" fillId="28" borderId="12" xfId="85" applyFont="1" applyFill="1" applyBorder="1" applyAlignment="1">
      <alignment horizontal="center"/>
    </xf>
    <xf numFmtId="164" fontId="1" fillId="0" borderId="14" xfId="84" applyNumberFormat="1" applyBorder="1" applyAlignment="1">
      <alignment horizontal="center" vertical="center"/>
    </xf>
    <xf numFmtId="164" fontId="1" fillId="0" borderId="20" xfId="84" applyNumberFormat="1" applyBorder="1" applyAlignment="1">
      <alignment horizontal="center" vertical="center"/>
    </xf>
    <xf numFmtId="164" fontId="1" fillId="0" borderId="15" xfId="84" applyNumberFormat="1" applyBorder="1" applyAlignment="1">
      <alignment horizontal="center" vertical="center"/>
    </xf>
    <xf numFmtId="0" fontId="22" fillId="30" borderId="10" xfId="85" applyFont="1" applyFill="1" applyBorder="1" applyAlignment="1">
      <alignment horizontal="center"/>
    </xf>
    <xf numFmtId="0" fontId="40" fillId="30" borderId="10" xfId="85" applyFont="1" applyFill="1" applyBorder="1" applyAlignment="1">
      <alignment horizontal="center"/>
    </xf>
    <xf numFmtId="0" fontId="40" fillId="28" borderId="13" xfId="85" applyFont="1" applyFill="1" applyBorder="1" applyAlignment="1">
      <alignment horizontal="center"/>
    </xf>
    <xf numFmtId="0" fontId="40" fillId="28" borderId="12" xfId="85" applyFont="1" applyFill="1" applyBorder="1" applyAlignment="1">
      <alignment horizontal="center"/>
    </xf>
    <xf numFmtId="0" fontId="1" fillId="30" borderId="10" xfId="85" applyFont="1" applyFill="1" applyBorder="1" applyAlignment="1">
      <alignment horizontal="center"/>
    </xf>
    <xf numFmtId="0" fontId="32" fillId="26" borderId="14" xfId="85" applyFont="1" applyFill="1" applyBorder="1" applyAlignment="1">
      <alignment horizontal="center" vertical="center"/>
    </xf>
    <xf numFmtId="0" fontId="32" fillId="26" borderId="20" xfId="85" applyFont="1" applyFill="1" applyBorder="1" applyAlignment="1">
      <alignment horizontal="center" vertical="center"/>
    </xf>
    <xf numFmtId="0" fontId="32" fillId="26" borderId="15" xfId="85" applyFont="1" applyFill="1" applyBorder="1" applyAlignment="1">
      <alignment horizontal="center" vertical="center"/>
    </xf>
    <xf numFmtId="0" fontId="22" fillId="25" borderId="12" xfId="85" applyFont="1" applyFill="1" applyBorder="1" applyAlignment="1">
      <alignment horizontal="center"/>
    </xf>
    <xf numFmtId="0" fontId="22" fillId="25" borderId="10" xfId="85" applyFont="1" applyFill="1" applyBorder="1" applyAlignment="1">
      <alignment horizontal="center"/>
    </xf>
    <xf numFmtId="0" fontId="22" fillId="27" borderId="10" xfId="85" applyFont="1" applyFill="1" applyBorder="1" applyAlignment="1">
      <alignment horizontal="center" vertical="center" wrapText="1"/>
    </xf>
    <xf numFmtId="0" fontId="22" fillId="29" borderId="10" xfId="85" applyFont="1" applyFill="1" applyBorder="1" applyAlignment="1">
      <alignment horizontal="center"/>
    </xf>
    <xf numFmtId="0" fontId="22" fillId="28" borderId="10" xfId="85" applyFont="1" applyFill="1" applyBorder="1" applyAlignment="1">
      <alignment horizontal="center"/>
    </xf>
    <xf numFmtId="0" fontId="22" fillId="32" borderId="0" xfId="85" applyFont="1" applyFill="1" applyAlignment="1">
      <alignment horizontal="center"/>
    </xf>
    <xf numFmtId="164" fontId="1" fillId="0" borderId="14" xfId="90" applyNumberFormat="1" applyBorder="1" applyAlignment="1">
      <alignment horizontal="center" vertical="center"/>
    </xf>
    <xf numFmtId="164" fontId="1" fillId="0" borderId="20" xfId="90" applyNumberFormat="1" applyBorder="1" applyAlignment="1">
      <alignment horizontal="center" vertical="center"/>
    </xf>
    <xf numFmtId="164" fontId="1" fillId="0" borderId="15" xfId="90" applyNumberFormat="1" applyBorder="1" applyAlignment="1">
      <alignment horizontal="center" vertical="center"/>
    </xf>
    <xf numFmtId="3" fontId="29" fillId="0" borderId="14" xfId="90" applyNumberFormat="1" applyFont="1" applyBorder="1" applyAlignment="1">
      <alignment horizontal="right"/>
    </xf>
    <xf numFmtId="3" fontId="29" fillId="0" borderId="20" xfId="90" applyNumberFormat="1" applyFont="1" applyBorder="1" applyAlignment="1">
      <alignment horizontal="right"/>
    </xf>
    <xf numFmtId="3" fontId="29" fillId="0" borderId="15" xfId="90" applyNumberFormat="1" applyFont="1" applyBorder="1" applyAlignment="1">
      <alignment horizontal="right"/>
    </xf>
    <xf numFmtId="0" fontId="40" fillId="28" borderId="11" xfId="85" applyFont="1" applyFill="1" applyBorder="1" applyAlignment="1">
      <alignment horizontal="left"/>
    </xf>
    <xf numFmtId="0" fontId="39" fillId="28" borderId="13" xfId="85" applyFont="1" applyFill="1" applyBorder="1" applyAlignment="1">
      <alignment horizontal="left"/>
    </xf>
    <xf numFmtId="0" fontId="39" fillId="28" borderId="12" xfId="85" applyFont="1" applyFill="1" applyBorder="1" applyAlignment="1">
      <alignment horizontal="left"/>
    </xf>
    <xf numFmtId="0" fontId="40" fillId="28" borderId="13" xfId="85" applyFont="1" applyFill="1" applyBorder="1" applyAlignment="1">
      <alignment horizontal="left"/>
    </xf>
    <xf numFmtId="0" fontId="40" fillId="28" borderId="12" xfId="85" applyFont="1" applyFill="1" applyBorder="1" applyAlignment="1">
      <alignment horizontal="left"/>
    </xf>
    <xf numFmtId="3" fontId="1" fillId="0" borderId="14" xfId="85" applyNumberFormat="1" applyFont="1" applyBorder="1" applyAlignment="1">
      <alignment horizontal="right"/>
    </xf>
    <xf numFmtId="3" fontId="1" fillId="0" borderId="20" xfId="85" applyNumberFormat="1" applyFont="1" applyBorder="1" applyAlignment="1">
      <alignment horizontal="right"/>
    </xf>
    <xf numFmtId="3" fontId="1" fillId="0" borderId="15" xfId="85" applyNumberFormat="1" applyFont="1" applyBorder="1" applyAlignment="1">
      <alignment horizontal="right"/>
    </xf>
    <xf numFmtId="0" fontId="22" fillId="25" borderId="11" xfId="85" applyFont="1" applyFill="1" applyBorder="1" applyAlignment="1">
      <alignment horizontal="center"/>
    </xf>
    <xf numFmtId="0" fontId="22" fillId="25" borderId="13" xfId="85" applyFont="1" applyFill="1" applyBorder="1" applyAlignment="1">
      <alignment horizontal="center"/>
    </xf>
    <xf numFmtId="165" fontId="1" fillId="0" borderId="14" xfId="84" applyNumberFormat="1" applyBorder="1" applyAlignment="1">
      <alignment horizontal="center" vertical="center"/>
    </xf>
    <xf numFmtId="165" fontId="1" fillId="0" borderId="20" xfId="84" applyNumberFormat="1" applyBorder="1" applyAlignment="1">
      <alignment horizontal="center" vertical="center"/>
    </xf>
    <xf numFmtId="165" fontId="1" fillId="0" borderId="15" xfId="84" applyNumberFormat="1" applyBorder="1" applyAlignment="1">
      <alignment horizontal="center" vertical="center"/>
    </xf>
    <xf numFmtId="3" fontId="1" fillId="0" borderId="14" xfId="85" applyNumberFormat="1" applyFont="1" applyBorder="1" applyAlignment="1">
      <alignment horizontal="center" vertical="center"/>
    </xf>
    <xf numFmtId="3" fontId="1" fillId="0" borderId="20" xfId="85" applyNumberFormat="1" applyFont="1" applyBorder="1" applyAlignment="1">
      <alignment horizontal="center" vertical="center"/>
    </xf>
    <xf numFmtId="3" fontId="1" fillId="0" borderId="15" xfId="85" applyNumberFormat="1" applyFont="1" applyBorder="1" applyAlignment="1">
      <alignment horizontal="center" vertical="center"/>
    </xf>
    <xf numFmtId="3" fontId="29" fillId="0" borderId="14" xfId="84" applyNumberFormat="1" applyFont="1" applyBorder="1" applyAlignment="1">
      <alignment horizontal="center" vertical="center"/>
    </xf>
    <xf numFmtId="3" fontId="29" fillId="0" borderId="20" xfId="84" applyNumberFormat="1" applyFont="1" applyBorder="1" applyAlignment="1">
      <alignment horizontal="center" vertical="center"/>
    </xf>
    <xf numFmtId="3" fontId="29" fillId="0" borderId="15" xfId="84" applyNumberFormat="1" applyFont="1" applyBorder="1" applyAlignment="1">
      <alignment horizontal="center" vertical="center"/>
    </xf>
    <xf numFmtId="164" fontId="1" fillId="41" borderId="14" xfId="84" applyNumberFormat="1" applyFill="1" applyBorder="1" applyAlignment="1">
      <alignment horizontal="center"/>
    </xf>
    <xf numFmtId="164" fontId="1" fillId="41" borderId="20" xfId="84" applyNumberFormat="1" applyFill="1" applyBorder="1" applyAlignment="1">
      <alignment horizontal="center"/>
    </xf>
    <xf numFmtId="164" fontId="1" fillId="41" borderId="15" xfId="84" applyNumberFormat="1" applyFill="1" applyBorder="1" applyAlignment="1">
      <alignment horizontal="center"/>
    </xf>
    <xf numFmtId="3" fontId="1" fillId="41" borderId="14" xfId="85" applyNumberFormat="1" applyFont="1" applyFill="1" applyBorder="1" applyAlignment="1">
      <alignment horizontal="center"/>
    </xf>
    <xf numFmtId="3" fontId="1" fillId="41" borderId="20" xfId="85" applyNumberFormat="1" applyFont="1" applyFill="1" applyBorder="1" applyAlignment="1">
      <alignment horizontal="center"/>
    </xf>
    <xf numFmtId="3" fontId="1" fillId="41" borderId="15" xfId="85" applyNumberFormat="1" applyFont="1" applyFill="1" applyBorder="1" applyAlignment="1">
      <alignment horizontal="center"/>
    </xf>
    <xf numFmtId="167" fontId="1" fillId="0" borderId="14" xfId="91" applyNumberFormat="1" applyFont="1" applyBorder="1" applyAlignment="1">
      <alignment horizontal="center"/>
    </xf>
    <xf numFmtId="167" fontId="1" fillId="0" borderId="20" xfId="91" applyNumberFormat="1" applyFont="1" applyBorder="1" applyAlignment="1">
      <alignment horizontal="center"/>
    </xf>
    <xf numFmtId="167" fontId="1" fillId="0" borderId="15" xfId="91" applyNumberFormat="1" applyFont="1" applyBorder="1" applyAlignment="1">
      <alignment horizontal="center"/>
    </xf>
    <xf numFmtId="0" fontId="1" fillId="0" borderId="0" xfId="85" applyFont="1" applyAlignment="1">
      <alignment horizontal="center"/>
    </xf>
    <xf numFmtId="0" fontId="22" fillId="0" borderId="0" xfId="85" applyFont="1" applyAlignment="1">
      <alignment horizontal="center"/>
    </xf>
    <xf numFmtId="167" fontId="29" fillId="0" borderId="14" xfId="91" applyNumberFormat="1" applyFont="1" applyBorder="1" applyAlignment="1">
      <alignment horizontal="center"/>
    </xf>
    <xf numFmtId="167" fontId="29" fillId="0" borderId="20" xfId="91" applyNumberFormat="1" applyFont="1" applyBorder="1" applyAlignment="1">
      <alignment horizontal="center"/>
    </xf>
    <xf numFmtId="167" fontId="29" fillId="0" borderId="15" xfId="91" applyNumberFormat="1" applyFont="1" applyBorder="1" applyAlignment="1">
      <alignment horizontal="center"/>
    </xf>
    <xf numFmtId="0" fontId="20" fillId="28" borderId="11" xfId="85" applyFont="1" applyFill="1" applyBorder="1" applyAlignment="1">
      <alignment horizontal="center"/>
    </xf>
    <xf numFmtId="0" fontId="26" fillId="28" borderId="13" xfId="85" applyFont="1" applyFill="1" applyBorder="1" applyAlignment="1">
      <alignment horizontal="center"/>
    </xf>
    <xf numFmtId="0" fontId="26" fillId="28" borderId="12" xfId="85" applyFont="1" applyFill="1" applyBorder="1" applyAlignment="1">
      <alignment horizontal="center"/>
    </xf>
    <xf numFmtId="0" fontId="20" fillId="28" borderId="13" xfId="85" applyFont="1" applyFill="1" applyBorder="1" applyAlignment="1">
      <alignment horizontal="center"/>
    </xf>
    <xf numFmtId="0" fontId="20" fillId="28" borderId="12" xfId="85" applyFont="1" applyFill="1" applyBorder="1" applyAlignment="1">
      <alignment horizontal="center"/>
    </xf>
    <xf numFmtId="1" fontId="1" fillId="0" borderId="14" xfId="84" applyNumberFormat="1" applyBorder="1" applyAlignment="1">
      <alignment horizontal="right" vertical="center"/>
    </xf>
    <xf numFmtId="1" fontId="1" fillId="0" borderId="20" xfId="84" applyNumberFormat="1" applyBorder="1" applyAlignment="1">
      <alignment horizontal="right" vertical="center"/>
    </xf>
    <xf numFmtId="1" fontId="1" fillId="0" borderId="15" xfId="84" applyNumberFormat="1" applyBorder="1" applyAlignment="1">
      <alignment horizontal="right" vertical="center"/>
    </xf>
    <xf numFmtId="3" fontId="1" fillId="0" borderId="14" xfId="85" applyNumberFormat="1" applyFont="1" applyBorder="1" applyAlignment="1">
      <alignment horizontal="right" vertical="center"/>
    </xf>
    <xf numFmtId="3" fontId="1" fillId="0" borderId="20" xfId="85" applyNumberFormat="1" applyFont="1" applyBorder="1" applyAlignment="1">
      <alignment horizontal="right" vertical="center"/>
    </xf>
    <xf numFmtId="3" fontId="1" fillId="0" borderId="15" xfId="85" applyNumberFormat="1" applyFont="1" applyBorder="1" applyAlignment="1">
      <alignment horizontal="right" vertical="center"/>
    </xf>
    <xf numFmtId="3" fontId="38" fillId="0" borderId="14" xfId="85" applyNumberFormat="1" applyBorder="1" applyAlignment="1">
      <alignment horizontal="right"/>
    </xf>
    <xf numFmtId="3" fontId="38" fillId="0" borderId="20" xfId="85" applyNumberFormat="1" applyBorder="1" applyAlignment="1">
      <alignment horizontal="right"/>
    </xf>
    <xf numFmtId="3" fontId="38" fillId="0" borderId="15" xfId="85" applyNumberFormat="1" applyBorder="1" applyAlignment="1">
      <alignment horizontal="right"/>
    </xf>
    <xf numFmtId="3" fontId="29" fillId="0" borderId="14" xfId="84" applyNumberFormat="1" applyFont="1" applyBorder="1" applyAlignment="1">
      <alignment horizontal="right"/>
    </xf>
    <xf numFmtId="3" fontId="29" fillId="0" borderId="20" xfId="84" applyNumberFormat="1" applyFont="1" applyBorder="1" applyAlignment="1">
      <alignment horizontal="right"/>
    </xf>
    <xf numFmtId="3" fontId="29" fillId="0" borderId="15" xfId="84" applyNumberFormat="1" applyFont="1" applyBorder="1" applyAlignment="1">
      <alignment horizontal="right"/>
    </xf>
    <xf numFmtId="1" fontId="1" fillId="0" borderId="14" xfId="84" applyNumberFormat="1" applyBorder="1" applyAlignment="1">
      <alignment vertical="center"/>
    </xf>
    <xf numFmtId="1" fontId="1" fillId="0" borderId="20" xfId="84" applyNumberFormat="1" applyBorder="1" applyAlignment="1">
      <alignment vertical="center"/>
    </xf>
    <xf numFmtId="1" fontId="1" fillId="0" borderId="15" xfId="84" applyNumberFormat="1" applyBorder="1" applyAlignment="1">
      <alignment vertical="center"/>
    </xf>
    <xf numFmtId="3" fontId="1" fillId="0" borderId="14" xfId="85" applyNumberFormat="1" applyFont="1" applyBorder="1" applyAlignment="1">
      <alignment vertical="center"/>
    </xf>
    <xf numFmtId="3" fontId="1" fillId="0" borderId="20" xfId="85" applyNumberFormat="1" applyFont="1" applyBorder="1" applyAlignment="1">
      <alignment vertical="center"/>
    </xf>
    <xf numFmtId="3" fontId="1" fillId="0" borderId="15" xfId="85" applyNumberFormat="1" applyFont="1" applyBorder="1" applyAlignment="1">
      <alignment vertical="center"/>
    </xf>
    <xf numFmtId="4" fontId="38" fillId="0" borderId="14" xfId="85" applyNumberFormat="1" applyBorder="1" applyAlignment="1">
      <alignment horizontal="right"/>
    </xf>
    <xf numFmtId="4" fontId="38" fillId="0" borderId="20" xfId="85" applyNumberFormat="1" applyBorder="1" applyAlignment="1">
      <alignment horizontal="right"/>
    </xf>
    <xf numFmtId="4" fontId="38" fillId="0" borderId="15" xfId="85" applyNumberFormat="1" applyBorder="1" applyAlignment="1">
      <alignment horizontal="right"/>
    </xf>
    <xf numFmtId="4" fontId="1" fillId="0" borderId="14" xfId="85" applyNumberFormat="1" applyFont="1" applyBorder="1" applyAlignment="1">
      <alignment horizontal="right"/>
    </xf>
    <xf numFmtId="4" fontId="1" fillId="0" borderId="20" xfId="85" applyNumberFormat="1" applyFont="1" applyBorder="1" applyAlignment="1">
      <alignment horizontal="right"/>
    </xf>
    <xf numFmtId="4" fontId="1" fillId="0" borderId="15" xfId="85" applyNumberFormat="1" applyFont="1" applyBorder="1" applyAlignment="1">
      <alignment horizontal="right"/>
    </xf>
    <xf numFmtId="167" fontId="38" fillId="0" borderId="14" xfId="91" applyNumberFormat="1" applyFont="1" applyBorder="1" applyAlignment="1">
      <alignment horizontal="center" vertical="center"/>
    </xf>
    <xf numFmtId="167" fontId="38" fillId="0" borderId="20" xfId="91" applyNumberFormat="1" applyFont="1" applyBorder="1" applyAlignment="1">
      <alignment horizontal="center" vertical="center"/>
    </xf>
    <xf numFmtId="167" fontId="38" fillId="0" borderId="15" xfId="91" applyNumberFormat="1" applyFont="1" applyBorder="1" applyAlignment="1">
      <alignment horizontal="center" vertical="center"/>
    </xf>
    <xf numFmtId="167" fontId="1" fillId="0" borderId="14" xfId="91" applyNumberFormat="1" applyFont="1" applyBorder="1" applyAlignment="1">
      <alignment horizontal="right"/>
    </xf>
    <xf numFmtId="167" fontId="1" fillId="0" borderId="15" xfId="91" applyNumberFormat="1" applyFont="1" applyBorder="1" applyAlignment="1">
      <alignment horizontal="right"/>
    </xf>
    <xf numFmtId="167" fontId="1" fillId="0" borderId="20" xfId="91" applyNumberFormat="1" applyFont="1" applyBorder="1" applyAlignment="1">
      <alignment horizontal="right"/>
    </xf>
    <xf numFmtId="3" fontId="29" fillId="0" borderId="14" xfId="0" applyNumberFormat="1" applyFont="1" applyBorder="1" applyAlignment="1">
      <alignment horizontal="right"/>
    </xf>
    <xf numFmtId="3" fontId="29" fillId="0" borderId="20" xfId="0" applyNumberFormat="1" applyFont="1" applyBorder="1" applyAlignment="1">
      <alignment horizontal="right"/>
    </xf>
    <xf numFmtId="3" fontId="29" fillId="0" borderId="15" xfId="0" applyNumberFormat="1" applyFont="1" applyBorder="1" applyAlignment="1">
      <alignment horizontal="right"/>
    </xf>
    <xf numFmtId="167" fontId="29" fillId="0" borderId="14" xfId="91" applyNumberFormat="1" applyFont="1" applyBorder="1" applyAlignment="1">
      <alignment horizontal="right"/>
    </xf>
    <xf numFmtId="167" fontId="29" fillId="0" borderId="20" xfId="91" applyNumberFormat="1" applyFont="1" applyBorder="1" applyAlignment="1">
      <alignment horizontal="right"/>
    </xf>
    <xf numFmtId="167" fontId="29" fillId="0" borderId="15" xfId="91" applyNumberFormat="1" applyFont="1" applyBorder="1" applyAlignment="1">
      <alignment horizontal="right"/>
    </xf>
    <xf numFmtId="167" fontId="0" fillId="0" borderId="14" xfId="91" applyNumberFormat="1" applyFont="1" applyBorder="1" applyAlignment="1">
      <alignment horizontal="right"/>
    </xf>
    <xf numFmtId="167" fontId="0" fillId="0" borderId="20" xfId="91" applyNumberFormat="1" applyFont="1" applyBorder="1" applyAlignment="1">
      <alignment horizontal="right"/>
    </xf>
    <xf numFmtId="167" fontId="0" fillId="0" borderId="15" xfId="91" applyNumberFormat="1" applyFont="1" applyBorder="1" applyAlignment="1">
      <alignment horizontal="right"/>
    </xf>
    <xf numFmtId="1" fontId="0" fillId="0" borderId="14" xfId="0" applyNumberFormat="1" applyBorder="1" applyAlignment="1">
      <alignment horizontal="right" vertical="center"/>
    </xf>
    <xf numFmtId="1" fontId="0" fillId="0" borderId="20" xfId="0" applyNumberFormat="1" applyBorder="1" applyAlignment="1">
      <alignment horizontal="right" vertical="center"/>
    </xf>
    <xf numFmtId="1" fontId="0" fillId="0" borderId="15" xfId="0" applyNumberFormat="1" applyBorder="1" applyAlignment="1">
      <alignment horizontal="right" vertical="center"/>
    </xf>
    <xf numFmtId="3" fontId="1" fillId="0" borderId="14" xfId="83" applyNumberFormat="1" applyFont="1" applyBorder="1" applyAlignment="1">
      <alignment horizontal="center" vertical="center" wrapText="1"/>
    </xf>
    <xf numFmtId="3" fontId="1" fillId="0" borderId="20" xfId="83" applyNumberFormat="1" applyFont="1" applyBorder="1" applyAlignment="1">
      <alignment horizontal="center" vertical="center" wrapText="1"/>
    </xf>
    <xf numFmtId="3" fontId="1" fillId="0" borderId="15" xfId="83" applyNumberFormat="1" applyFont="1" applyBorder="1" applyAlignment="1">
      <alignment horizontal="center" vertical="center" wrapText="1"/>
    </xf>
    <xf numFmtId="3" fontId="29" fillId="0" borderId="14" xfId="0" applyNumberFormat="1" applyFont="1" applyBorder="1" applyAlignment="1">
      <alignment horizontal="center" vertical="center" wrapText="1"/>
    </xf>
    <xf numFmtId="3" fontId="29" fillId="0" borderId="20" xfId="0" applyNumberFormat="1" applyFont="1" applyBorder="1" applyAlignment="1">
      <alignment horizontal="center" vertical="center" wrapText="1"/>
    </xf>
    <xf numFmtId="3" fontId="29" fillId="0" borderId="15" xfId="0" applyNumberFormat="1" applyFont="1" applyBorder="1" applyAlignment="1">
      <alignment horizontal="center" vertical="center" wrapText="1"/>
    </xf>
    <xf numFmtId="0" fontId="46" fillId="28" borderId="11" xfId="83" applyFont="1" applyFill="1" applyBorder="1" applyAlignment="1">
      <alignment horizontal="center"/>
    </xf>
    <xf numFmtId="0" fontId="46" fillId="28" borderId="13" xfId="83" applyFont="1" applyFill="1" applyBorder="1" applyAlignment="1">
      <alignment horizontal="center"/>
    </xf>
    <xf numFmtId="0" fontId="46" fillId="28" borderId="12" xfId="83" applyFont="1" applyFill="1" applyBorder="1" applyAlignment="1">
      <alignment horizontal="center"/>
    </xf>
    <xf numFmtId="0" fontId="1" fillId="30" borderId="10" xfId="83" applyFont="1" applyFill="1" applyBorder="1" applyAlignment="1">
      <alignment horizontal="center"/>
    </xf>
    <xf numFmtId="164" fontId="1" fillId="0" borderId="14" xfId="84" applyNumberFormat="1" applyBorder="1" applyAlignment="1">
      <alignment horizontal="right"/>
    </xf>
    <xf numFmtId="164" fontId="1" fillId="0" borderId="20" xfId="84" applyNumberFormat="1" applyBorder="1" applyAlignment="1">
      <alignment horizontal="right"/>
    </xf>
    <xf numFmtId="164" fontId="1" fillId="0" borderId="15" xfId="84" applyNumberFormat="1" applyBorder="1" applyAlignment="1">
      <alignment horizontal="right"/>
    </xf>
    <xf numFmtId="0" fontId="1" fillId="28" borderId="11" xfId="85" applyFont="1" applyFill="1" applyBorder="1" applyAlignment="1">
      <alignment horizontal="center"/>
    </xf>
    <xf numFmtId="0" fontId="1" fillId="28" borderId="13" xfId="85" applyFont="1" applyFill="1" applyBorder="1" applyAlignment="1">
      <alignment horizontal="center"/>
    </xf>
    <xf numFmtId="0" fontId="1" fillId="28" borderId="12" xfId="85" applyFont="1" applyFill="1" applyBorder="1" applyAlignment="1">
      <alignment horizontal="center"/>
    </xf>
    <xf numFmtId="3" fontId="29" fillId="0" borderId="14" xfId="0" applyNumberFormat="1" applyFont="1" applyBorder="1" applyAlignment="1">
      <alignment horizontal="right" vertical="center"/>
    </xf>
    <xf numFmtId="3" fontId="29" fillId="0" borderId="20" xfId="0" applyNumberFormat="1" applyFont="1" applyBorder="1" applyAlignment="1">
      <alignment horizontal="right" vertical="center"/>
    </xf>
    <xf numFmtId="3" fontId="29" fillId="0" borderId="15" xfId="0" applyNumberFormat="1" applyFont="1" applyBorder="1" applyAlignment="1">
      <alignment horizontal="right" vertical="center"/>
    </xf>
    <xf numFmtId="3" fontId="38" fillId="0" borderId="14" xfId="85" applyNumberFormat="1" applyFont="1" applyBorder="1" applyAlignment="1">
      <alignment horizontal="right"/>
    </xf>
    <xf numFmtId="3" fontId="38" fillId="0" borderId="20" xfId="85" applyNumberFormat="1" applyFont="1" applyBorder="1" applyAlignment="1">
      <alignment horizontal="right"/>
    </xf>
    <xf numFmtId="3" fontId="38" fillId="0" borderId="15" xfId="85" applyNumberFormat="1" applyFont="1" applyBorder="1" applyAlignment="1">
      <alignment horizontal="right"/>
    </xf>
    <xf numFmtId="167" fontId="29" fillId="35" borderId="14" xfId="91" applyNumberFormat="1" applyFont="1" applyFill="1" applyBorder="1" applyAlignment="1">
      <alignment horizontal="center" vertical="center"/>
    </xf>
    <xf numFmtId="167" fontId="29" fillId="35" borderId="20" xfId="91" applyNumberFormat="1" applyFont="1" applyFill="1" applyBorder="1" applyAlignment="1">
      <alignment horizontal="center" vertical="center"/>
    </xf>
    <xf numFmtId="167" fontId="29" fillId="35" borderId="15" xfId="91" applyNumberFormat="1" applyFont="1" applyFill="1" applyBorder="1" applyAlignment="1">
      <alignment horizontal="center" vertical="center"/>
    </xf>
    <xf numFmtId="3" fontId="29" fillId="35" borderId="14" xfId="0" applyNumberFormat="1" applyFont="1" applyFill="1" applyBorder="1" applyAlignment="1">
      <alignment horizontal="center" vertical="center" wrapText="1"/>
    </xf>
    <xf numFmtId="3" fontId="29" fillId="35" borderId="20" xfId="0" applyNumberFormat="1" applyFont="1" applyFill="1" applyBorder="1" applyAlignment="1">
      <alignment horizontal="center" vertical="center" wrapText="1"/>
    </xf>
    <xf numFmtId="3" fontId="29" fillId="35" borderId="15" xfId="0" applyNumberFormat="1" applyFont="1" applyFill="1" applyBorder="1" applyAlignment="1">
      <alignment horizontal="center" vertical="center" wrapText="1"/>
    </xf>
    <xf numFmtId="3" fontId="29" fillId="35" borderId="14" xfId="0" applyNumberFormat="1" applyFont="1" applyFill="1" applyBorder="1" applyAlignment="1">
      <alignment horizontal="center" vertical="center"/>
    </xf>
    <xf numFmtId="3" fontId="29" fillId="35" borderId="20" xfId="0" applyNumberFormat="1" applyFont="1" applyFill="1" applyBorder="1" applyAlignment="1">
      <alignment horizontal="center" vertical="center"/>
    </xf>
    <xf numFmtId="3" fontId="29" fillId="35" borderId="15" xfId="0" applyNumberFormat="1" applyFont="1" applyFill="1" applyBorder="1" applyAlignment="1">
      <alignment horizontal="center" vertical="center"/>
    </xf>
    <xf numFmtId="167" fontId="0" fillId="0" borderId="14" xfId="91" applyNumberFormat="1" applyFont="1" applyBorder="1" applyAlignment="1">
      <alignment horizontal="right" vertical="center"/>
    </xf>
    <xf numFmtId="167" fontId="0" fillId="0" borderId="20" xfId="91" applyNumberFormat="1" applyFont="1" applyBorder="1" applyAlignment="1">
      <alignment horizontal="right" vertical="center"/>
    </xf>
    <xf numFmtId="167" fontId="0" fillId="0" borderId="15" xfId="91" applyNumberFormat="1" applyFont="1" applyBorder="1" applyAlignment="1">
      <alignment horizontal="right" vertical="center"/>
    </xf>
    <xf numFmtId="167" fontId="1" fillId="0" borderId="14" xfId="91" applyNumberFormat="1" applyFont="1" applyBorder="1" applyAlignment="1">
      <alignment horizontal="right" vertical="center"/>
    </xf>
    <xf numFmtId="167" fontId="1" fillId="0" borderId="20" xfId="91" applyNumberFormat="1" applyFont="1" applyBorder="1" applyAlignment="1">
      <alignment horizontal="right" vertical="center"/>
    </xf>
    <xf numFmtId="167" fontId="1" fillId="0" borderId="15" xfId="91" applyNumberFormat="1" applyFont="1" applyBorder="1" applyAlignment="1">
      <alignment horizontal="right" vertical="center"/>
    </xf>
    <xf numFmtId="167" fontId="29" fillId="0" borderId="14" xfId="91" applyNumberFormat="1" applyFont="1" applyBorder="1" applyAlignment="1">
      <alignment horizontal="right" vertical="center"/>
    </xf>
    <xf numFmtId="167" fontId="29" fillId="0" borderId="20" xfId="91" applyNumberFormat="1" applyFont="1" applyBorder="1" applyAlignment="1">
      <alignment horizontal="right" vertical="center"/>
    </xf>
    <xf numFmtId="167" fontId="29" fillId="0" borderId="15" xfId="91" applyNumberFormat="1" applyFont="1" applyBorder="1" applyAlignment="1">
      <alignment horizontal="right" vertical="center"/>
    </xf>
    <xf numFmtId="164" fontId="0" fillId="36" borderId="14" xfId="0" applyNumberFormat="1" applyFill="1" applyBorder="1" applyAlignment="1">
      <alignment horizontal="center" vertical="center"/>
    </xf>
    <xf numFmtId="164" fontId="0" fillId="36" borderId="20" xfId="0" applyNumberFormat="1" applyFill="1" applyBorder="1" applyAlignment="1">
      <alignment horizontal="center" vertical="center"/>
    </xf>
    <xf numFmtId="164" fontId="0" fillId="36" borderId="15" xfId="0" applyNumberFormat="1" applyFill="1" applyBorder="1" applyAlignment="1">
      <alignment horizontal="center" vertical="center"/>
    </xf>
    <xf numFmtId="3" fontId="1" fillId="36" borderId="14" xfId="83" applyNumberFormat="1" applyFont="1" applyFill="1" applyBorder="1" applyAlignment="1">
      <alignment horizontal="center" vertical="center"/>
    </xf>
    <xf numFmtId="3" fontId="1" fillId="36" borderId="20" xfId="83" applyNumberFormat="1" applyFont="1" applyFill="1" applyBorder="1" applyAlignment="1">
      <alignment horizontal="center" vertical="center"/>
    </xf>
    <xf numFmtId="3" fontId="1" fillId="36" borderId="15" xfId="83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29" fillId="36" borderId="14" xfId="0" applyNumberFormat="1" applyFont="1" applyFill="1" applyBorder="1" applyAlignment="1">
      <alignment horizontal="center" vertical="center"/>
    </xf>
    <xf numFmtId="3" fontId="29" fillId="36" borderId="20" xfId="0" applyNumberFormat="1" applyFont="1" applyFill="1" applyBorder="1" applyAlignment="1">
      <alignment horizontal="center" vertical="center"/>
    </xf>
    <xf numFmtId="3" fontId="29" fillId="36" borderId="15" xfId="0" applyNumberFormat="1" applyFont="1" applyFill="1" applyBorder="1" applyAlignment="1">
      <alignment horizontal="center" vertical="center"/>
    </xf>
    <xf numFmtId="2" fontId="1" fillId="35" borderId="14" xfId="83" applyNumberFormat="1" applyFont="1" applyFill="1" applyBorder="1" applyAlignment="1">
      <alignment horizontal="center" vertical="center"/>
    </xf>
    <xf numFmtId="2" fontId="1" fillId="35" borderId="20" xfId="83" applyNumberFormat="1" applyFont="1" applyFill="1" applyBorder="1" applyAlignment="1">
      <alignment horizontal="center" vertical="center"/>
    </xf>
    <xf numFmtId="2" fontId="1" fillId="35" borderId="15" xfId="83" applyNumberFormat="1" applyFont="1" applyFill="1" applyBorder="1" applyAlignment="1">
      <alignment horizontal="center" vertical="center"/>
    </xf>
    <xf numFmtId="4" fontId="29" fillId="0" borderId="14" xfId="0" applyNumberFormat="1" applyFont="1" applyBorder="1" applyAlignment="1">
      <alignment horizontal="center" vertical="center" wrapText="1"/>
    </xf>
    <xf numFmtId="4" fontId="29" fillId="0" borderId="20" xfId="0" applyNumberFormat="1" applyFont="1" applyBorder="1" applyAlignment="1">
      <alignment horizontal="center" vertical="center" wrapText="1"/>
    </xf>
    <xf numFmtId="167" fontId="0" fillId="35" borderId="14" xfId="91" applyNumberFormat="1" applyFont="1" applyFill="1" applyBorder="1" applyAlignment="1">
      <alignment horizontal="center" vertical="center" wrapText="1"/>
    </xf>
    <xf numFmtId="167" fontId="0" fillId="35" borderId="20" xfId="91" applyNumberFormat="1" applyFont="1" applyFill="1" applyBorder="1" applyAlignment="1">
      <alignment horizontal="center" vertical="center" wrapText="1"/>
    </xf>
    <xf numFmtId="167" fontId="0" fillId="35" borderId="15" xfId="91" applyNumberFormat="1" applyFont="1" applyFill="1" applyBorder="1" applyAlignment="1">
      <alignment horizontal="center" vertical="center" wrapText="1"/>
    </xf>
    <xf numFmtId="167" fontId="0" fillId="35" borderId="14" xfId="91" applyNumberFormat="1" applyFont="1" applyFill="1" applyBorder="1" applyAlignment="1">
      <alignment horizontal="center" vertical="center"/>
    </xf>
    <xf numFmtId="167" fontId="0" fillId="35" borderId="20" xfId="91" applyNumberFormat="1" applyFont="1" applyFill="1" applyBorder="1" applyAlignment="1">
      <alignment horizontal="center" vertical="center"/>
    </xf>
    <xf numFmtId="167" fontId="0" fillId="35" borderId="15" xfId="91" applyNumberFormat="1" applyFont="1" applyFill="1" applyBorder="1" applyAlignment="1">
      <alignment horizontal="center" vertical="center"/>
    </xf>
    <xf numFmtId="3" fontId="50" fillId="0" borderId="41" xfId="0" applyNumberFormat="1" applyFont="1" applyBorder="1" applyAlignment="1">
      <alignment horizontal="right"/>
    </xf>
    <xf numFmtId="3" fontId="50" fillId="0" borderId="43" xfId="0" applyNumberFormat="1" applyFont="1" applyBorder="1" applyAlignment="1">
      <alignment horizontal="right"/>
    </xf>
    <xf numFmtId="3" fontId="50" fillId="0" borderId="28" xfId="0" applyNumberFormat="1" applyFont="1" applyBorder="1" applyAlignment="1">
      <alignment horizontal="right"/>
    </xf>
    <xf numFmtId="3" fontId="29" fillId="0" borderId="40" xfId="0" applyNumberFormat="1" applyFont="1" applyBorder="1" applyAlignment="1">
      <alignment horizontal="right"/>
    </xf>
    <xf numFmtId="3" fontId="29" fillId="0" borderId="42" xfId="0" applyNumberFormat="1" applyFont="1" applyBorder="1" applyAlignment="1">
      <alignment horizontal="right"/>
    </xf>
    <xf numFmtId="3" fontId="29" fillId="0" borderId="27" xfId="0" applyNumberFormat="1" applyFont="1" applyBorder="1" applyAlignment="1">
      <alignment horizontal="right"/>
    </xf>
    <xf numFmtId="3" fontId="29" fillId="0" borderId="41" xfId="0" applyNumberFormat="1" applyFont="1" applyBorder="1" applyAlignment="1">
      <alignment horizontal="right"/>
    </xf>
    <xf numFmtId="3" fontId="29" fillId="0" borderId="43" xfId="0" applyNumberFormat="1" applyFont="1" applyBorder="1" applyAlignment="1">
      <alignment horizontal="right"/>
    </xf>
    <xf numFmtId="3" fontId="29" fillId="0" borderId="28" xfId="0" applyNumberFormat="1" applyFont="1" applyBorder="1" applyAlignment="1">
      <alignment horizontal="right"/>
    </xf>
    <xf numFmtId="3" fontId="50" fillId="0" borderId="40" xfId="0" applyNumberFormat="1" applyFont="1" applyBorder="1" applyAlignment="1">
      <alignment horizontal="right"/>
    </xf>
    <xf numFmtId="3" fontId="50" fillId="0" borderId="42" xfId="0" applyNumberFormat="1" applyFont="1" applyBorder="1" applyAlignment="1">
      <alignment horizontal="right"/>
    </xf>
    <xf numFmtId="3" fontId="50" fillId="0" borderId="27" xfId="0" applyNumberFormat="1" applyFont="1" applyBorder="1" applyAlignment="1">
      <alignment horizontal="right"/>
    </xf>
    <xf numFmtId="3" fontId="50" fillId="0" borderId="14" xfId="0" applyNumberFormat="1" applyFont="1" applyBorder="1" applyAlignment="1">
      <alignment horizontal="right"/>
    </xf>
    <xf numFmtId="3" fontId="50" fillId="0" borderId="20" xfId="0" applyNumberFormat="1" applyFont="1" applyBorder="1" applyAlignment="1">
      <alignment horizontal="right"/>
    </xf>
    <xf numFmtId="3" fontId="50" fillId="0" borderId="15" xfId="0" applyNumberFormat="1" applyFont="1" applyBorder="1" applyAlignment="1">
      <alignment horizontal="right"/>
    </xf>
    <xf numFmtId="0" fontId="48" fillId="28" borderId="35" xfId="83" applyFont="1" applyFill="1" applyBorder="1" applyAlignment="1">
      <alignment horizontal="center"/>
    </xf>
    <xf numFmtId="0" fontId="48" fillId="28" borderId="36" xfId="83" applyFont="1" applyFill="1" applyBorder="1" applyAlignment="1">
      <alignment horizontal="center"/>
    </xf>
    <xf numFmtId="0" fontId="48" fillId="28" borderId="37" xfId="83" applyFont="1" applyFill="1" applyBorder="1" applyAlignment="1">
      <alignment horizontal="center"/>
    </xf>
    <xf numFmtId="0" fontId="48" fillId="28" borderId="38" xfId="83" applyFont="1" applyFill="1" applyBorder="1" applyAlignment="1">
      <alignment horizontal="center"/>
    </xf>
    <xf numFmtId="0" fontId="48" fillId="28" borderId="13" xfId="83" applyFont="1" applyFill="1" applyBorder="1" applyAlignment="1">
      <alignment horizontal="center"/>
    </xf>
    <xf numFmtId="0" fontId="48" fillId="28" borderId="39" xfId="83" applyFont="1" applyFill="1" applyBorder="1" applyAlignment="1">
      <alignment horizontal="center"/>
    </xf>
    <xf numFmtId="0" fontId="22" fillId="28" borderId="35" xfId="83" applyFont="1" applyFill="1" applyBorder="1" applyAlignment="1">
      <alignment horizontal="center"/>
    </xf>
    <xf numFmtId="0" fontId="22" fillId="28" borderId="36" xfId="83" applyFont="1" applyFill="1" applyBorder="1" applyAlignment="1">
      <alignment horizontal="center"/>
    </xf>
    <xf numFmtId="0" fontId="22" fillId="28" borderId="37" xfId="83" applyFont="1" applyFill="1" applyBorder="1" applyAlignment="1">
      <alignment horizontal="center"/>
    </xf>
    <xf numFmtId="0" fontId="22" fillId="28" borderId="38" xfId="83" applyFont="1" applyFill="1" applyBorder="1" applyAlignment="1">
      <alignment horizontal="center"/>
    </xf>
    <xf numFmtId="0" fontId="22" fillId="28" borderId="39" xfId="83" applyFont="1" applyFill="1" applyBorder="1" applyAlignment="1">
      <alignment horizontal="center"/>
    </xf>
    <xf numFmtId="0" fontId="32" fillId="26" borderId="32" xfId="83" applyFont="1" applyFill="1" applyBorder="1" applyAlignment="1">
      <alignment horizontal="center" vertical="center"/>
    </xf>
    <xf numFmtId="0" fontId="32" fillId="26" borderId="33" xfId="83" applyFont="1" applyFill="1" applyBorder="1" applyAlignment="1">
      <alignment horizontal="center" vertical="center"/>
    </xf>
    <xf numFmtId="0" fontId="32" fillId="26" borderId="34" xfId="83" applyFont="1" applyFill="1" applyBorder="1" applyAlignment="1">
      <alignment horizontal="center" vertical="center"/>
    </xf>
    <xf numFmtId="0" fontId="25" fillId="31" borderId="10" xfId="83" applyFont="1" applyFill="1" applyBorder="1" applyAlignment="1">
      <alignment horizontal="center" vertical="center" wrapText="1"/>
    </xf>
    <xf numFmtId="0" fontId="7" fillId="33" borderId="11" xfId="83" applyFont="1" applyFill="1" applyBorder="1" applyAlignment="1">
      <alignment horizontal="center" vertical="center" wrapText="1"/>
    </xf>
    <xf numFmtId="0" fontId="7" fillId="33" borderId="13" xfId="83" applyFont="1" applyFill="1" applyBorder="1" applyAlignment="1">
      <alignment horizontal="center" vertical="center" wrapText="1"/>
    </xf>
    <xf numFmtId="0" fontId="7" fillId="33" borderId="12" xfId="83" applyFont="1" applyFill="1" applyBorder="1" applyAlignment="1">
      <alignment horizontal="center" vertical="center" wrapText="1"/>
    </xf>
    <xf numFmtId="0" fontId="7" fillId="34" borderId="11" xfId="83" applyFont="1" applyFill="1" applyBorder="1" applyAlignment="1">
      <alignment horizontal="center" vertical="center" wrapText="1"/>
    </xf>
    <xf numFmtId="0" fontId="7" fillId="34" borderId="13" xfId="83" applyFont="1" applyFill="1" applyBorder="1" applyAlignment="1">
      <alignment horizontal="center" vertical="center" wrapText="1"/>
    </xf>
    <xf numFmtId="0" fontId="7" fillId="34" borderId="12" xfId="83" applyFont="1" applyFill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</cellXfs>
  <cellStyles count="9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 % – Zvýraznění 1" xfId="13" builtinId="31" customBuiltin="1"/>
    <cellStyle name="40 % – Zvýraznění 2" xfId="14" builtinId="35" customBuiltin="1"/>
    <cellStyle name="40 % – Zvýraznění 3" xfId="15" builtinId="39" customBuiltin="1"/>
    <cellStyle name="40 % – Zvýraznění 4" xfId="16" builtinId="43" customBuiltin="1"/>
    <cellStyle name="40 % – Zvýraznění 5" xfId="17" builtinId="47" customBuiltin="1"/>
    <cellStyle name="40 % – Zvýraznění 6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 % – Zvýraznění 1" xfId="25" builtinId="32" customBuiltin="1"/>
    <cellStyle name="60 % – Zvýraznění 2" xfId="26" builtinId="36" customBuiltin="1"/>
    <cellStyle name="60 % – Zvýraznění 3" xfId="27" builtinId="40" customBuiltin="1"/>
    <cellStyle name="60 % – Zvýraznění 4" xfId="28" builtinId="44" customBuiltin="1"/>
    <cellStyle name="60 % – Zvýraznění 5" xfId="29" builtinId="48" customBuiltin="1"/>
    <cellStyle name="60 % – Zvýraznění 6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Calculation" xfId="44" xr:uid="{00000000-0005-0000-0000-00002B000000}"/>
    <cellStyle name="Celkem" xfId="45" builtinId="25" customBuiltin="1"/>
    <cellStyle name="Čárka" xfId="91" builtinId="3"/>
    <cellStyle name="Explanatory Text" xfId="46" xr:uid="{00000000-0005-0000-0000-00002D000000}"/>
    <cellStyle name="Good" xfId="47" xr:uid="{00000000-0005-0000-0000-00002E000000}"/>
    <cellStyle name="Heading 1" xfId="48" xr:uid="{00000000-0005-0000-0000-00002F000000}"/>
    <cellStyle name="Heading 2" xfId="49" xr:uid="{00000000-0005-0000-0000-000030000000}"/>
    <cellStyle name="Heading 3" xfId="50" xr:uid="{00000000-0005-0000-0000-000031000000}"/>
    <cellStyle name="Heading 4" xfId="51" xr:uid="{00000000-0005-0000-0000-000032000000}"/>
    <cellStyle name="Check Cell" xfId="52" xr:uid="{00000000-0005-0000-0000-000033000000}"/>
    <cellStyle name="Input" xfId="54" xr:uid="{00000000-0005-0000-0000-000035000000}"/>
    <cellStyle name="Kontrolní buňka" xfId="55" builtinId="23" customBuiltin="1"/>
    <cellStyle name="Linked Cell" xfId="56" xr:uid="{00000000-0005-0000-0000-000037000000}"/>
    <cellStyle name="Nadpis 1" xfId="57" builtinId="16" customBuiltin="1"/>
    <cellStyle name="Nadpis 2" xfId="58" builtinId="17" customBuiltin="1"/>
    <cellStyle name="Nadpis 3" xfId="59" builtinId="18" customBuiltin="1"/>
    <cellStyle name="Nadpis 4" xfId="60" builtinId="19" customBuiltin="1"/>
    <cellStyle name="Název" xfId="61" builtinId="15" customBuiltin="1"/>
    <cellStyle name="Neutral" xfId="62" xr:uid="{00000000-0005-0000-0000-00003D000000}"/>
    <cellStyle name="Neutrální" xfId="63" builtinId="28" customBuiltin="1"/>
    <cellStyle name="Normální" xfId="0" builtinId="0"/>
    <cellStyle name="normální 2" xfId="83" xr:uid="{00000000-0005-0000-0000-000040000000}"/>
    <cellStyle name="normální 2 2" xfId="85" xr:uid="{740C85B1-9B1E-4592-B479-E36F00F12F37}"/>
    <cellStyle name="Normální 3" xfId="84" xr:uid="{4A9B084A-763F-4FFE-B5E0-898F946B03BA}"/>
    <cellStyle name="Normální 4" xfId="88" xr:uid="{B321BDB8-83B7-4171-AB8F-C08350F6AA09}"/>
    <cellStyle name="Normální 5" xfId="90" xr:uid="{B6109543-8EC5-46D8-B3FC-E6B9CA3C02B5}"/>
    <cellStyle name="Normální 6" xfId="89" xr:uid="{82042FFF-E90D-40F6-8673-96C150FD5B31}"/>
    <cellStyle name="Normální 7" xfId="86" xr:uid="{47989C7F-43EC-418C-AD3D-37D5601990BE}"/>
    <cellStyle name="Note" xfId="64" xr:uid="{00000000-0005-0000-0000-000041000000}"/>
    <cellStyle name="Output" xfId="65" xr:uid="{00000000-0005-0000-0000-000042000000}"/>
    <cellStyle name="Poznámka" xfId="66" builtinId="10" customBuiltin="1"/>
    <cellStyle name="Poznámka 2" xfId="87" xr:uid="{1E324B10-1EBF-47E7-A586-B2ED099DF300}"/>
    <cellStyle name="Propojená buňka" xfId="67" builtinId="24" customBuiltin="1"/>
    <cellStyle name="Správně" xfId="68" builtinId="26" customBuiltin="1"/>
    <cellStyle name="Špatně" xfId="53" builtinId="27" customBuiltin="1"/>
    <cellStyle name="Text upozornění" xfId="69" builtinId="11" customBuiltin="1"/>
    <cellStyle name="Title" xfId="70" xr:uid="{00000000-0005-0000-0000-000047000000}"/>
    <cellStyle name="Total" xfId="71" xr:uid="{00000000-0005-0000-0000-000048000000}"/>
    <cellStyle name="Vstup" xfId="72" builtinId="20" customBuiltin="1"/>
    <cellStyle name="Výpočet" xfId="73" builtinId="22" customBuiltin="1"/>
    <cellStyle name="Výstup" xfId="74" builtinId="21" customBuiltin="1"/>
    <cellStyle name="Vysvětlující text" xfId="75" builtinId="53" customBuiltin="1"/>
    <cellStyle name="Warning Text" xfId="76" xr:uid="{00000000-0005-0000-0000-00004D000000}"/>
    <cellStyle name="Zvýraznění 1" xfId="77" builtinId="29" customBuiltin="1"/>
    <cellStyle name="Zvýraznění 2" xfId="78" builtinId="33" customBuiltin="1"/>
    <cellStyle name="Zvýraznění 3" xfId="79" builtinId="37" customBuiltin="1"/>
    <cellStyle name="Zvýraznění 4" xfId="80" builtinId="41" customBuiltin="1"/>
    <cellStyle name="Zvýraznění 5" xfId="81" builtinId="45" customBuiltin="1"/>
    <cellStyle name="Zvýraznění 6" xfId="82" builtinId="49" customBuiltin="1"/>
  </cellStyles>
  <dxfs count="0"/>
  <tableStyles count="0" defaultTableStyle="TableStyleMedium9" defaultPivotStyle="PivotStyleLight16"/>
  <colors>
    <mruColors>
      <color rgb="FFFFFF66"/>
      <color rgb="FFFFCC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2FF15-FB0A-42B1-8EEA-5EF8BFEEB62C}">
  <dimension ref="A1:S58"/>
  <sheetViews>
    <sheetView workbookViewId="0">
      <selection activeCell="J62" sqref="J62"/>
    </sheetView>
  </sheetViews>
  <sheetFormatPr defaultRowHeight="12.75" x14ac:dyDescent="0.2"/>
  <cols>
    <col min="1" max="1" width="12.7109375" customWidth="1"/>
    <col min="2" max="7" width="11.7109375" hidden="1" customWidth="1"/>
    <col min="8" max="14" width="11.7109375" customWidth="1"/>
    <col min="15" max="15" width="19.28515625" customWidth="1"/>
    <col min="16" max="19" width="11.7109375" customWidth="1"/>
  </cols>
  <sheetData>
    <row r="1" spans="1:19" ht="15" x14ac:dyDescent="0.2">
      <c r="A1" s="21" t="s">
        <v>166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57" t="s">
        <v>33</v>
      </c>
      <c r="R1" s="15"/>
      <c r="S1" s="57"/>
    </row>
    <row r="2" spans="1:19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304"/>
      <c r="L2" s="305"/>
      <c r="M2" s="305"/>
      <c r="N2" s="306"/>
      <c r="O2" s="60"/>
      <c r="P2" s="322"/>
      <c r="Q2" s="322"/>
      <c r="R2" s="322"/>
      <c r="S2" s="322"/>
    </row>
    <row r="3" spans="1:19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52</v>
      </c>
      <c r="K3" s="304" t="s">
        <v>14</v>
      </c>
      <c r="L3" s="305"/>
      <c r="M3" s="305"/>
      <c r="N3" s="306"/>
      <c r="O3" s="60" t="s">
        <v>52</v>
      </c>
      <c r="P3" s="322" t="s">
        <v>50</v>
      </c>
      <c r="Q3" s="322"/>
      <c r="R3" s="322" t="s">
        <v>51</v>
      </c>
      <c r="S3" s="322"/>
    </row>
    <row r="4" spans="1:19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8" t="s">
        <v>35</v>
      </c>
      <c r="L4" s="8" t="s">
        <v>36</v>
      </c>
      <c r="M4" s="8" t="s">
        <v>37</v>
      </c>
      <c r="N4" s="8" t="s">
        <v>17</v>
      </c>
      <c r="O4" s="8"/>
      <c r="P4" s="9" t="s">
        <v>23</v>
      </c>
      <c r="Q4" s="9" t="s">
        <v>24</v>
      </c>
      <c r="R4" s="9" t="s">
        <v>23</v>
      </c>
      <c r="S4" s="9" t="s">
        <v>24</v>
      </c>
    </row>
    <row r="5" spans="1:19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46">
        <v>23808.75</v>
      </c>
      <c r="I5" s="246">
        <v>17463.46</v>
      </c>
      <c r="J5" s="221"/>
      <c r="K5" s="293">
        <v>1238</v>
      </c>
      <c r="L5" s="293">
        <v>247</v>
      </c>
      <c r="M5" s="293">
        <f>K5+L5</f>
        <v>1485</v>
      </c>
      <c r="N5" s="293">
        <v>5442.05</v>
      </c>
      <c r="O5" s="222"/>
      <c r="P5" s="326">
        <v>176</v>
      </c>
      <c r="Q5" s="329">
        <f>P5*36.2</f>
        <v>6371.2000000000007</v>
      </c>
      <c r="R5" s="326">
        <v>176</v>
      </c>
      <c r="S5" s="329">
        <f>R5*31.74</f>
        <v>5586.24</v>
      </c>
    </row>
    <row r="6" spans="1:19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46">
        <f>9355.71+6224.15</f>
        <v>15579.859999999999</v>
      </c>
      <c r="I6" s="246">
        <f>6919.82+4704.24</f>
        <v>11624.06</v>
      </c>
      <c r="J6" s="223"/>
      <c r="K6" s="294"/>
      <c r="L6" s="294"/>
      <c r="M6" s="294"/>
      <c r="N6" s="294"/>
      <c r="O6" s="224" t="s">
        <v>38</v>
      </c>
      <c r="P6" s="327"/>
      <c r="Q6" s="330"/>
      <c r="R6" s="327"/>
      <c r="S6" s="330"/>
    </row>
    <row r="7" spans="1:19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46">
        <v>9697.35</v>
      </c>
      <c r="I7" s="246">
        <v>7437.24</v>
      </c>
      <c r="J7" s="223"/>
      <c r="K7" s="295"/>
      <c r="L7" s="295"/>
      <c r="M7" s="295"/>
      <c r="N7" s="295"/>
      <c r="O7" s="31"/>
      <c r="P7" s="327"/>
      <c r="Q7" s="330"/>
      <c r="R7" s="327"/>
      <c r="S7" s="330"/>
    </row>
    <row r="8" spans="1:19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46">
        <v>5693.08</v>
      </c>
      <c r="I8" s="246">
        <v>4635.7700000000004</v>
      </c>
      <c r="J8" s="223"/>
      <c r="K8" s="293">
        <v>2646</v>
      </c>
      <c r="L8" s="293">
        <v>564</v>
      </c>
      <c r="M8" s="293">
        <f t="shared" ref="M8" si="3">K8+L8</f>
        <v>3210</v>
      </c>
      <c r="N8" s="293">
        <v>12531.92</v>
      </c>
      <c r="O8" s="31"/>
      <c r="P8" s="327"/>
      <c r="Q8" s="330"/>
      <c r="R8" s="327"/>
      <c r="S8" s="330"/>
    </row>
    <row r="9" spans="1:19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46">
        <v>4907.09</v>
      </c>
      <c r="I9" s="246">
        <v>4085.88</v>
      </c>
      <c r="J9" s="223"/>
      <c r="K9" s="294"/>
      <c r="L9" s="294"/>
      <c r="M9" s="294"/>
      <c r="N9" s="294"/>
      <c r="O9" s="31"/>
      <c r="P9" s="327"/>
      <c r="Q9" s="330"/>
      <c r="R9" s="327"/>
      <c r="S9" s="330"/>
    </row>
    <row r="10" spans="1:19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46">
        <v>1306.43</v>
      </c>
      <c r="I10" s="246">
        <v>1566.79</v>
      </c>
      <c r="J10" s="223"/>
      <c r="K10" s="294"/>
      <c r="L10" s="294"/>
      <c r="M10" s="294"/>
      <c r="N10" s="294"/>
      <c r="O10" s="31"/>
      <c r="P10" s="327"/>
      <c r="Q10" s="330"/>
      <c r="R10" s="327"/>
      <c r="S10" s="330"/>
    </row>
    <row r="11" spans="1:19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46">
        <v>1508.24</v>
      </c>
      <c r="I11" s="246">
        <v>1707.97</v>
      </c>
      <c r="J11" s="223"/>
      <c r="K11" s="294"/>
      <c r="L11" s="294"/>
      <c r="M11" s="294"/>
      <c r="N11" s="294"/>
      <c r="O11" s="31"/>
      <c r="P11" s="327"/>
      <c r="Q11" s="330"/>
      <c r="R11" s="327"/>
      <c r="S11" s="330"/>
    </row>
    <row r="12" spans="1:19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46">
        <v>1433.89</v>
      </c>
      <c r="I12" s="246">
        <v>1655.96</v>
      </c>
      <c r="J12" s="223"/>
      <c r="K12" s="294"/>
      <c r="L12" s="294"/>
      <c r="M12" s="294"/>
      <c r="N12" s="294"/>
      <c r="O12" s="224" t="s">
        <v>42</v>
      </c>
      <c r="P12" s="327"/>
      <c r="Q12" s="330"/>
      <c r="R12" s="327"/>
      <c r="S12" s="330"/>
    </row>
    <row r="13" spans="1:19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46">
        <v>2729.7</v>
      </c>
      <c r="I13" s="246">
        <v>2562.5300000000002</v>
      </c>
      <c r="J13" s="223"/>
      <c r="K13" s="294"/>
      <c r="L13" s="294"/>
      <c r="M13" s="294"/>
      <c r="N13" s="294"/>
      <c r="O13" s="225"/>
      <c r="P13" s="327"/>
      <c r="Q13" s="330"/>
      <c r="R13" s="327"/>
      <c r="S13" s="330"/>
    </row>
    <row r="14" spans="1:19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46">
        <v>5215.1099999999997</v>
      </c>
      <c r="I14" s="246">
        <v>4301.37</v>
      </c>
      <c r="J14" s="223"/>
      <c r="K14" s="294"/>
      <c r="L14" s="294"/>
      <c r="M14" s="294"/>
      <c r="N14" s="294"/>
      <c r="O14" s="225"/>
      <c r="P14" s="327"/>
      <c r="Q14" s="330"/>
      <c r="R14" s="327"/>
      <c r="S14" s="330"/>
    </row>
    <row r="15" spans="1:19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46">
        <v>9251.25</v>
      </c>
      <c r="I15" s="246">
        <v>7125.15</v>
      </c>
      <c r="J15" s="223"/>
      <c r="K15" s="294"/>
      <c r="L15" s="294"/>
      <c r="M15" s="294"/>
      <c r="N15" s="294"/>
      <c r="O15" s="225"/>
      <c r="P15" s="327"/>
      <c r="Q15" s="330"/>
      <c r="R15" s="327"/>
      <c r="S15" s="330"/>
    </row>
    <row r="16" spans="1:19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46">
        <v>13149.3</v>
      </c>
      <c r="I16" s="246">
        <v>9852.2999999999993</v>
      </c>
      <c r="J16" s="223"/>
      <c r="K16" s="294"/>
      <c r="L16" s="294"/>
      <c r="M16" s="294"/>
      <c r="N16" s="294"/>
      <c r="O16" s="225"/>
      <c r="P16" s="328"/>
      <c r="Q16" s="331"/>
      <c r="R16" s="328"/>
      <c r="S16" s="331"/>
    </row>
    <row r="17" spans="1:19" x14ac:dyDescent="0.2">
      <c r="A17" s="4" t="s">
        <v>20</v>
      </c>
      <c r="B17" s="53">
        <f>SUM(B5:B16)</f>
        <v>0</v>
      </c>
      <c r="C17" s="5">
        <f t="shared" ref="C17:S17" si="4">SUM(C5:C16)</f>
        <v>0</v>
      </c>
      <c r="D17" s="53">
        <f t="shared" si="4"/>
        <v>0</v>
      </c>
      <c r="E17" s="5">
        <f t="shared" si="4"/>
        <v>0</v>
      </c>
      <c r="F17" s="5">
        <f t="shared" si="4"/>
        <v>0</v>
      </c>
      <c r="G17" s="5">
        <f t="shared" si="4"/>
        <v>0</v>
      </c>
      <c r="H17" s="5">
        <f t="shared" si="4"/>
        <v>94280.05</v>
      </c>
      <c r="I17" s="5">
        <f t="shared" si="4"/>
        <v>74018.48</v>
      </c>
      <c r="J17" s="5">
        <f t="shared" si="4"/>
        <v>0</v>
      </c>
      <c r="K17" s="5">
        <f t="shared" si="4"/>
        <v>3884</v>
      </c>
      <c r="L17" s="5">
        <f t="shared" si="4"/>
        <v>811</v>
      </c>
      <c r="M17" s="5">
        <f t="shared" si="4"/>
        <v>4695</v>
      </c>
      <c r="N17" s="5">
        <f t="shared" si="4"/>
        <v>17973.97</v>
      </c>
      <c r="O17" s="5">
        <f t="shared" si="4"/>
        <v>0</v>
      </c>
      <c r="P17" s="5">
        <f t="shared" si="4"/>
        <v>176</v>
      </c>
      <c r="Q17" s="5">
        <f t="shared" si="4"/>
        <v>6371.2000000000007</v>
      </c>
      <c r="R17" s="5">
        <f t="shared" si="4"/>
        <v>176</v>
      </c>
      <c r="S17" s="5">
        <f t="shared" si="4"/>
        <v>5586.24</v>
      </c>
    </row>
    <row r="18" spans="1:19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29"/>
      <c r="L18" s="29"/>
      <c r="M18" s="29"/>
      <c r="N18" s="32"/>
      <c r="O18" s="32"/>
      <c r="P18" s="27"/>
      <c r="Q18" s="32"/>
      <c r="R18" s="27"/>
      <c r="S18" s="32"/>
    </row>
    <row r="19" spans="1:19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">
      <c r="H20" s="76"/>
      <c r="I20" s="76"/>
    </row>
    <row r="23" spans="1:19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304"/>
      <c r="L23" s="305"/>
      <c r="M23" s="305"/>
      <c r="N23" s="306"/>
      <c r="O23" s="60"/>
      <c r="P23" s="322"/>
      <c r="Q23" s="322"/>
      <c r="R23" s="322"/>
      <c r="S23" s="322"/>
    </row>
    <row r="24" spans="1:19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 t="s">
        <v>52</v>
      </c>
      <c r="K24" s="304" t="s">
        <v>14</v>
      </c>
      <c r="L24" s="305"/>
      <c r="M24" s="305"/>
      <c r="N24" s="306"/>
      <c r="O24" s="60" t="s">
        <v>52</v>
      </c>
      <c r="P24" s="322" t="s">
        <v>50</v>
      </c>
      <c r="Q24" s="322"/>
      <c r="R24" s="322" t="s">
        <v>51</v>
      </c>
      <c r="S24" s="322"/>
    </row>
    <row r="25" spans="1:19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8" t="s">
        <v>35</v>
      </c>
      <c r="L25" s="8" t="s">
        <v>36</v>
      </c>
      <c r="M25" s="8" t="s">
        <v>37</v>
      </c>
      <c r="N25" s="8" t="s">
        <v>17</v>
      </c>
      <c r="O25" s="8"/>
      <c r="P25" s="9" t="s">
        <v>23</v>
      </c>
      <c r="Q25" s="9" t="s">
        <v>24</v>
      </c>
      <c r="R25" s="9" t="s">
        <v>23</v>
      </c>
      <c r="S25" s="9" t="s">
        <v>24</v>
      </c>
    </row>
    <row r="26" spans="1:19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2">
        <v>20875.169999999998</v>
      </c>
      <c r="I26" s="2">
        <v>15303.62</v>
      </c>
      <c r="J26" s="72"/>
      <c r="K26" s="307">
        <v>1033</v>
      </c>
      <c r="L26" s="307">
        <v>266</v>
      </c>
      <c r="M26" s="307">
        <f>K26+L26</f>
        <v>1299</v>
      </c>
      <c r="N26" s="307">
        <f>3654.97+2144.66</f>
        <v>5799.6299999999992</v>
      </c>
      <c r="O26" s="219"/>
      <c r="P26" s="332">
        <v>74</v>
      </c>
      <c r="Q26" s="323">
        <f>P26*40.5</f>
        <v>2997</v>
      </c>
      <c r="R26" s="332">
        <v>74</v>
      </c>
      <c r="S26" s="323">
        <f>R26*34.98</f>
        <v>2588.52</v>
      </c>
    </row>
    <row r="27" spans="1:19" x14ac:dyDescent="0.2">
      <c r="A27" s="3" t="s">
        <v>1</v>
      </c>
      <c r="B27" s="46">
        <f t="shared" ref="B27:C37" si="5">D27+F27</f>
        <v>0</v>
      </c>
      <c r="C27" s="2">
        <f t="shared" si="5"/>
        <v>0</v>
      </c>
      <c r="D27" s="52"/>
      <c r="E27" s="16">
        <f t="shared" ref="E27:E37" si="6">D27*513.8</f>
        <v>0</v>
      </c>
      <c r="F27" s="2">
        <v>0</v>
      </c>
      <c r="G27" s="2">
        <f t="shared" ref="G27:G37" si="7">F27*336.1423</f>
        <v>0</v>
      </c>
      <c r="H27" s="2">
        <f>7436.45+5673.74</f>
        <v>13110.189999999999</v>
      </c>
      <c r="I27" s="323">
        <f>5539.34+52115.84</f>
        <v>57655.179999999993</v>
      </c>
      <c r="J27" s="73"/>
      <c r="K27" s="308"/>
      <c r="L27" s="308"/>
      <c r="M27" s="308"/>
      <c r="N27" s="308"/>
      <c r="O27" s="227" t="s">
        <v>44</v>
      </c>
      <c r="P27" s="333"/>
      <c r="Q27" s="324"/>
      <c r="R27" s="333"/>
      <c r="S27" s="324"/>
    </row>
    <row r="28" spans="1:19" x14ac:dyDescent="0.2">
      <c r="A28" s="3" t="s">
        <v>2</v>
      </c>
      <c r="B28" s="46">
        <f t="shared" si="5"/>
        <v>0</v>
      </c>
      <c r="C28" s="2">
        <f t="shared" si="5"/>
        <v>0</v>
      </c>
      <c r="D28" s="52"/>
      <c r="E28" s="16">
        <f t="shared" si="6"/>
        <v>0</v>
      </c>
      <c r="F28" s="2">
        <v>0</v>
      </c>
      <c r="G28" s="2">
        <f t="shared" si="7"/>
        <v>0</v>
      </c>
      <c r="H28" s="2">
        <v>12186.86</v>
      </c>
      <c r="I28" s="324"/>
      <c r="J28" s="73"/>
      <c r="K28" s="309"/>
      <c r="L28" s="309"/>
      <c r="M28" s="309"/>
      <c r="N28" s="309"/>
      <c r="O28" s="228"/>
      <c r="P28" s="333"/>
      <c r="Q28" s="324"/>
      <c r="R28" s="333"/>
      <c r="S28" s="324"/>
    </row>
    <row r="29" spans="1:19" x14ac:dyDescent="0.2">
      <c r="A29" s="3" t="s">
        <v>3</v>
      </c>
      <c r="B29" s="46">
        <f t="shared" si="5"/>
        <v>0</v>
      </c>
      <c r="C29" s="2">
        <f t="shared" si="5"/>
        <v>0</v>
      </c>
      <c r="D29" s="52"/>
      <c r="E29" s="16">
        <f t="shared" si="6"/>
        <v>0</v>
      </c>
      <c r="F29" s="2">
        <v>0</v>
      </c>
      <c r="G29" s="2">
        <f t="shared" si="7"/>
        <v>0</v>
      </c>
      <c r="H29" s="2">
        <v>6704.37</v>
      </c>
      <c r="I29" s="324"/>
      <c r="J29" s="73"/>
      <c r="K29" s="311">
        <v>2520</v>
      </c>
      <c r="L29" s="311">
        <v>524</v>
      </c>
      <c r="M29" s="311">
        <f>K29+L29</f>
        <v>3044</v>
      </c>
      <c r="N29" s="311">
        <f>9112.25+5089.03</f>
        <v>14201.279999999999</v>
      </c>
      <c r="O29" s="228"/>
      <c r="P29" s="334"/>
      <c r="Q29" s="325"/>
      <c r="R29" s="334"/>
      <c r="S29" s="325"/>
    </row>
    <row r="30" spans="1:19" x14ac:dyDescent="0.2">
      <c r="A30" s="3" t="s">
        <v>4</v>
      </c>
      <c r="B30" s="46">
        <f t="shared" si="5"/>
        <v>0</v>
      </c>
      <c r="C30" s="2">
        <f t="shared" si="5"/>
        <v>0</v>
      </c>
      <c r="D30" s="52"/>
      <c r="E30" s="16">
        <f t="shared" si="6"/>
        <v>0</v>
      </c>
      <c r="F30" s="2">
        <v>0</v>
      </c>
      <c r="G30" s="2">
        <f t="shared" si="7"/>
        <v>0</v>
      </c>
      <c r="H30" s="2">
        <v>4547.49</v>
      </c>
      <c r="I30" s="324"/>
      <c r="J30" s="73"/>
      <c r="K30" s="312"/>
      <c r="L30" s="312"/>
      <c r="M30" s="312"/>
      <c r="N30" s="312"/>
      <c r="O30" s="228"/>
      <c r="P30" s="229"/>
      <c r="Q30" s="94"/>
      <c r="R30" s="229"/>
      <c r="S30" s="94"/>
    </row>
    <row r="31" spans="1:19" x14ac:dyDescent="0.2">
      <c r="A31" s="3" t="s">
        <v>5</v>
      </c>
      <c r="B31" s="46">
        <f t="shared" si="5"/>
        <v>0</v>
      </c>
      <c r="C31" s="2">
        <f t="shared" si="5"/>
        <v>0</v>
      </c>
      <c r="D31" s="52"/>
      <c r="E31" s="16">
        <f t="shared" si="6"/>
        <v>0</v>
      </c>
      <c r="F31" s="2">
        <v>0</v>
      </c>
      <c r="G31" s="2">
        <f t="shared" si="7"/>
        <v>0</v>
      </c>
      <c r="H31" s="2">
        <v>2103.75</v>
      </c>
      <c r="I31" s="324"/>
      <c r="J31" s="73"/>
      <c r="K31" s="312"/>
      <c r="L31" s="312"/>
      <c r="M31" s="312"/>
      <c r="N31" s="312"/>
      <c r="O31" s="228"/>
      <c r="P31" s="229"/>
      <c r="Q31" s="94"/>
      <c r="R31" s="229"/>
      <c r="S31" s="94"/>
    </row>
    <row r="32" spans="1:19" x14ac:dyDescent="0.2">
      <c r="A32" s="3" t="s">
        <v>6</v>
      </c>
      <c r="B32" s="46">
        <f t="shared" si="5"/>
        <v>0</v>
      </c>
      <c r="C32" s="2">
        <f t="shared" si="5"/>
        <v>0</v>
      </c>
      <c r="D32" s="52"/>
      <c r="E32" s="16">
        <f t="shared" si="6"/>
        <v>0</v>
      </c>
      <c r="F32" s="2">
        <v>0</v>
      </c>
      <c r="G32" s="2">
        <f t="shared" si="7"/>
        <v>0</v>
      </c>
      <c r="H32" s="2">
        <v>1785</v>
      </c>
      <c r="I32" s="324"/>
      <c r="J32" s="73"/>
      <c r="K32" s="312"/>
      <c r="L32" s="312"/>
      <c r="M32" s="312"/>
      <c r="N32" s="312"/>
      <c r="O32" s="228"/>
      <c r="P32" s="229"/>
      <c r="Q32" s="94"/>
      <c r="R32" s="229"/>
      <c r="S32" s="94"/>
    </row>
    <row r="33" spans="1:19" x14ac:dyDescent="0.2">
      <c r="A33" s="3" t="s">
        <v>7</v>
      </c>
      <c r="B33" s="46">
        <f t="shared" si="5"/>
        <v>0</v>
      </c>
      <c r="C33" s="2">
        <f t="shared" si="5"/>
        <v>0</v>
      </c>
      <c r="D33" s="52"/>
      <c r="E33" s="16">
        <f t="shared" si="6"/>
        <v>0</v>
      </c>
      <c r="F33" s="2">
        <v>0</v>
      </c>
      <c r="G33" s="2">
        <f t="shared" si="7"/>
        <v>0</v>
      </c>
      <c r="H33" s="2">
        <v>1583.12</v>
      </c>
      <c r="I33" s="324"/>
      <c r="J33" s="73"/>
      <c r="K33" s="312"/>
      <c r="L33" s="312"/>
      <c r="M33" s="312"/>
      <c r="N33" s="312"/>
      <c r="O33" s="227" t="s">
        <v>45</v>
      </c>
      <c r="P33" s="229"/>
      <c r="Q33" s="94"/>
      <c r="R33" s="229"/>
      <c r="S33" s="94"/>
    </row>
    <row r="34" spans="1:19" x14ac:dyDescent="0.2">
      <c r="A34" s="3" t="s">
        <v>8</v>
      </c>
      <c r="B34" s="46">
        <f t="shared" si="5"/>
        <v>0</v>
      </c>
      <c r="C34" s="2">
        <f t="shared" si="5"/>
        <v>0</v>
      </c>
      <c r="D34" s="52"/>
      <c r="E34" s="16">
        <f t="shared" si="6"/>
        <v>0</v>
      </c>
      <c r="F34" s="2">
        <v>0</v>
      </c>
      <c r="G34" s="2">
        <f t="shared" si="7"/>
        <v>0</v>
      </c>
      <c r="H34" s="2">
        <v>2698.75</v>
      </c>
      <c r="I34" s="324"/>
      <c r="J34" s="73"/>
      <c r="K34" s="312"/>
      <c r="L34" s="312"/>
      <c r="M34" s="312"/>
      <c r="N34" s="312"/>
      <c r="O34" s="217"/>
      <c r="P34" s="229"/>
      <c r="Q34" s="94"/>
      <c r="R34" s="229"/>
      <c r="S34" s="94"/>
    </row>
    <row r="35" spans="1:19" x14ac:dyDescent="0.2">
      <c r="A35" s="3" t="s">
        <v>9</v>
      </c>
      <c r="B35" s="46">
        <f t="shared" si="5"/>
        <v>0</v>
      </c>
      <c r="C35" s="2">
        <f t="shared" si="5"/>
        <v>0</v>
      </c>
      <c r="D35" s="52"/>
      <c r="E35" s="16">
        <f t="shared" si="6"/>
        <v>0</v>
      </c>
      <c r="F35" s="2">
        <v>0</v>
      </c>
      <c r="G35" s="2">
        <f t="shared" si="7"/>
        <v>0</v>
      </c>
      <c r="H35" s="2">
        <v>6587.49</v>
      </c>
      <c r="I35" s="324"/>
      <c r="J35" s="73"/>
      <c r="K35" s="312"/>
      <c r="L35" s="312"/>
      <c r="M35" s="312"/>
      <c r="N35" s="312"/>
      <c r="O35" s="217"/>
      <c r="P35" s="229"/>
      <c r="Q35" s="94"/>
      <c r="R35" s="229"/>
      <c r="S35" s="94"/>
    </row>
    <row r="36" spans="1:19" x14ac:dyDescent="0.2">
      <c r="A36" s="3" t="s">
        <v>10</v>
      </c>
      <c r="B36" s="46">
        <f t="shared" si="5"/>
        <v>0</v>
      </c>
      <c r="C36" s="2">
        <f t="shared" si="5"/>
        <v>0</v>
      </c>
      <c r="D36" s="52"/>
      <c r="E36" s="16">
        <f t="shared" si="6"/>
        <v>0</v>
      </c>
      <c r="F36" s="2">
        <v>0</v>
      </c>
      <c r="G36" s="2">
        <f t="shared" si="7"/>
        <v>0</v>
      </c>
      <c r="H36" s="2">
        <v>11432.48</v>
      </c>
      <c r="I36" s="324"/>
      <c r="J36" s="73"/>
      <c r="K36" s="312"/>
      <c r="L36" s="312"/>
      <c r="M36" s="312"/>
      <c r="N36" s="312"/>
      <c r="O36" s="217"/>
      <c r="P36" s="229"/>
      <c r="Q36" s="94"/>
      <c r="R36" s="229"/>
      <c r="S36" s="94"/>
    </row>
    <row r="37" spans="1:19" x14ac:dyDescent="0.2">
      <c r="A37" s="3" t="s">
        <v>11</v>
      </c>
      <c r="B37" s="46">
        <f t="shared" si="5"/>
        <v>0</v>
      </c>
      <c r="C37" s="2">
        <f t="shared" si="5"/>
        <v>0</v>
      </c>
      <c r="D37" s="52"/>
      <c r="E37" s="16">
        <f t="shared" si="6"/>
        <v>0</v>
      </c>
      <c r="F37" s="2">
        <v>0</v>
      </c>
      <c r="G37" s="2">
        <f t="shared" si="7"/>
        <v>0</v>
      </c>
      <c r="H37" s="2">
        <f>4802.49+4377.49</f>
        <v>9179.98</v>
      </c>
      <c r="I37" s="325"/>
      <c r="J37" s="73"/>
      <c r="K37" s="312"/>
      <c r="L37" s="312"/>
      <c r="M37" s="312"/>
      <c r="N37" s="312"/>
      <c r="O37" s="217"/>
      <c r="P37" s="229"/>
      <c r="Q37" s="94"/>
      <c r="R37" s="229"/>
      <c r="S37" s="94"/>
    </row>
    <row r="38" spans="1:19" x14ac:dyDescent="0.2">
      <c r="A38" s="4" t="s">
        <v>20</v>
      </c>
      <c r="B38" s="53">
        <f>SUM(B26:B37)</f>
        <v>0</v>
      </c>
      <c r="C38" s="5">
        <f t="shared" ref="C38:I38" si="8">SUM(C26:C37)</f>
        <v>0</v>
      </c>
      <c r="D38" s="53">
        <f t="shared" si="8"/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92794.650000000009</v>
      </c>
      <c r="I38" s="5">
        <f t="shared" si="8"/>
        <v>72958.799999999988</v>
      </c>
      <c r="J38" s="75"/>
      <c r="K38" s="5">
        <f>SUM(K26:K37)</f>
        <v>3553</v>
      </c>
      <c r="L38" s="5">
        <f t="shared" ref="L38:N38" si="9">SUM(L26:L37)</f>
        <v>790</v>
      </c>
      <c r="M38" s="5">
        <f t="shared" si="9"/>
        <v>4343</v>
      </c>
      <c r="N38" s="5">
        <f t="shared" si="9"/>
        <v>20000.909999999996</v>
      </c>
      <c r="O38" s="218"/>
      <c r="P38" s="5">
        <f t="shared" ref="P38:Q38" si="10">SUM(P26:P37)</f>
        <v>74</v>
      </c>
      <c r="Q38" s="5">
        <f t="shared" si="10"/>
        <v>2997</v>
      </c>
      <c r="R38" s="5">
        <f t="shared" ref="R38:S38" si="11">SUM(R26:R37)</f>
        <v>74</v>
      </c>
      <c r="S38" s="5">
        <f t="shared" si="11"/>
        <v>2588.52</v>
      </c>
    </row>
    <row r="44" spans="1:19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58"/>
      <c r="K44" s="335"/>
      <c r="L44" s="335"/>
      <c r="M44" s="335"/>
      <c r="N44" s="335"/>
      <c r="O44" s="59"/>
      <c r="P44" s="322"/>
      <c r="Q44" s="322"/>
      <c r="R44" s="322"/>
      <c r="S44" s="322"/>
    </row>
    <row r="45" spans="1:19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8"/>
      <c r="L45" s="8"/>
      <c r="M45" s="8"/>
      <c r="N45" s="8"/>
      <c r="O45" s="8"/>
      <c r="P45" s="9"/>
      <c r="Q45" s="9"/>
      <c r="R45" s="9"/>
      <c r="S45" s="9"/>
    </row>
    <row r="46" spans="1:19" x14ac:dyDescent="0.2">
      <c r="A46" s="3"/>
      <c r="B46" s="2"/>
      <c r="C46" s="2"/>
      <c r="D46" s="11"/>
      <c r="E46" s="10"/>
      <c r="F46" s="11"/>
      <c r="G46" s="11"/>
      <c r="H46" s="220"/>
      <c r="I46" s="220"/>
      <c r="J46" s="221"/>
      <c r="K46" s="302"/>
      <c r="L46" s="302"/>
      <c r="M46" s="302"/>
      <c r="N46" s="302"/>
      <c r="O46" s="222"/>
      <c r="P46" s="296"/>
      <c r="Q46" s="299"/>
      <c r="R46" s="296"/>
      <c r="S46" s="299"/>
    </row>
    <row r="47" spans="1:19" x14ac:dyDescent="0.2">
      <c r="A47" s="3"/>
      <c r="B47" s="2"/>
      <c r="C47" s="2"/>
      <c r="D47" s="11"/>
      <c r="E47" s="10"/>
      <c r="F47" s="11"/>
      <c r="G47" s="11"/>
      <c r="H47" s="220"/>
      <c r="I47" s="220"/>
      <c r="J47" s="223"/>
      <c r="K47" s="303"/>
      <c r="L47" s="303"/>
      <c r="M47" s="303"/>
      <c r="N47" s="303"/>
      <c r="O47" s="224"/>
      <c r="P47" s="297"/>
      <c r="Q47" s="300"/>
      <c r="R47" s="297"/>
      <c r="S47" s="300"/>
    </row>
    <row r="48" spans="1:19" x14ac:dyDescent="0.2">
      <c r="A48" s="3"/>
      <c r="B48" s="2"/>
      <c r="C48" s="2"/>
      <c r="D48" s="11"/>
      <c r="E48" s="10"/>
      <c r="F48" s="11"/>
      <c r="G48" s="11"/>
      <c r="H48" s="220"/>
      <c r="I48" s="220"/>
      <c r="J48" s="223"/>
      <c r="K48" s="310"/>
      <c r="L48" s="310"/>
      <c r="M48" s="310"/>
      <c r="N48" s="310"/>
      <c r="O48" s="31"/>
      <c r="P48" s="297"/>
      <c r="Q48" s="300"/>
      <c r="R48" s="297"/>
      <c r="S48" s="300"/>
    </row>
    <row r="49" spans="1:19" x14ac:dyDescent="0.2">
      <c r="A49" s="3"/>
      <c r="B49" s="2"/>
      <c r="C49" s="2"/>
      <c r="D49" s="11"/>
      <c r="E49" s="10"/>
      <c r="F49" s="11"/>
      <c r="G49" s="11"/>
      <c r="H49" s="220"/>
      <c r="I49" s="220"/>
      <c r="J49" s="223"/>
      <c r="K49" s="302"/>
      <c r="L49" s="302"/>
      <c r="M49" s="302"/>
      <c r="N49" s="302"/>
      <c r="O49" s="31"/>
      <c r="P49" s="297"/>
      <c r="Q49" s="300"/>
      <c r="R49" s="297"/>
      <c r="S49" s="300"/>
    </row>
    <row r="50" spans="1:19" x14ac:dyDescent="0.2">
      <c r="A50" s="3"/>
      <c r="B50" s="2"/>
      <c r="C50" s="2"/>
      <c r="D50" s="11"/>
      <c r="E50" s="10"/>
      <c r="F50" s="11"/>
      <c r="G50" s="11"/>
      <c r="H50" s="220"/>
      <c r="I50" s="220"/>
      <c r="J50" s="223"/>
      <c r="K50" s="303"/>
      <c r="L50" s="303"/>
      <c r="M50" s="303"/>
      <c r="N50" s="303"/>
      <c r="O50" s="31"/>
      <c r="P50" s="297"/>
      <c r="Q50" s="300"/>
      <c r="R50" s="297"/>
      <c r="S50" s="300"/>
    </row>
    <row r="51" spans="1:19" x14ac:dyDescent="0.2">
      <c r="A51" s="3"/>
      <c r="B51" s="2"/>
      <c r="C51" s="2"/>
      <c r="D51" s="11"/>
      <c r="E51" s="10"/>
      <c r="F51" s="11"/>
      <c r="G51" s="11"/>
      <c r="H51" s="220"/>
      <c r="I51" s="220"/>
      <c r="J51" s="223"/>
      <c r="K51" s="303"/>
      <c r="L51" s="303"/>
      <c r="M51" s="303"/>
      <c r="N51" s="303"/>
      <c r="O51" s="31"/>
      <c r="P51" s="297"/>
      <c r="Q51" s="300"/>
      <c r="R51" s="297"/>
      <c r="S51" s="300"/>
    </row>
    <row r="52" spans="1:19" x14ac:dyDescent="0.2">
      <c r="A52" s="3"/>
      <c r="B52" s="2"/>
      <c r="C52" s="2"/>
      <c r="D52" s="11"/>
      <c r="E52" s="10"/>
      <c r="F52" s="11"/>
      <c r="G52" s="11"/>
      <c r="H52" s="220"/>
      <c r="I52" s="220"/>
      <c r="J52" s="223"/>
      <c r="K52" s="303"/>
      <c r="L52" s="303"/>
      <c r="M52" s="303"/>
      <c r="N52" s="303"/>
      <c r="O52" s="31"/>
      <c r="P52" s="297"/>
      <c r="Q52" s="300"/>
      <c r="R52" s="297"/>
      <c r="S52" s="300"/>
    </row>
    <row r="53" spans="1:19" x14ac:dyDescent="0.2">
      <c r="A53" s="3"/>
      <c r="B53" s="2"/>
      <c r="C53" s="2"/>
      <c r="D53" s="11"/>
      <c r="E53" s="10"/>
      <c r="F53" s="11"/>
      <c r="G53" s="11"/>
      <c r="H53" s="220"/>
      <c r="I53" s="220"/>
      <c r="J53" s="223"/>
      <c r="K53" s="303"/>
      <c r="L53" s="303"/>
      <c r="M53" s="303"/>
      <c r="N53" s="303"/>
      <c r="O53" s="224"/>
      <c r="P53" s="297"/>
      <c r="Q53" s="300"/>
      <c r="R53" s="297"/>
      <c r="S53" s="300"/>
    </row>
    <row r="54" spans="1:19" x14ac:dyDescent="0.2">
      <c r="A54" s="3"/>
      <c r="B54" s="2"/>
      <c r="C54" s="2"/>
      <c r="D54" s="11"/>
      <c r="E54" s="10"/>
      <c r="F54" s="11"/>
      <c r="G54" s="11"/>
      <c r="H54" s="220"/>
      <c r="I54" s="220"/>
      <c r="J54" s="223"/>
      <c r="K54" s="303"/>
      <c r="L54" s="303"/>
      <c r="M54" s="303"/>
      <c r="N54" s="303"/>
      <c r="O54" s="225"/>
      <c r="P54" s="297"/>
      <c r="Q54" s="300"/>
      <c r="R54" s="297"/>
      <c r="S54" s="300"/>
    </row>
    <row r="55" spans="1:19" x14ac:dyDescent="0.2">
      <c r="A55" s="3"/>
      <c r="B55" s="2"/>
      <c r="C55" s="2"/>
      <c r="D55" s="11"/>
      <c r="E55" s="10"/>
      <c r="F55" s="11"/>
      <c r="G55" s="11"/>
      <c r="H55" s="220"/>
      <c r="I55" s="220"/>
      <c r="J55" s="223"/>
      <c r="K55" s="303"/>
      <c r="L55" s="303"/>
      <c r="M55" s="303"/>
      <c r="N55" s="303"/>
      <c r="O55" s="225"/>
      <c r="P55" s="297"/>
      <c r="Q55" s="300"/>
      <c r="R55" s="297"/>
      <c r="S55" s="300"/>
    </row>
    <row r="56" spans="1:19" x14ac:dyDescent="0.2">
      <c r="A56" s="3"/>
      <c r="B56" s="2"/>
      <c r="C56" s="2"/>
      <c r="D56" s="11"/>
      <c r="E56" s="10"/>
      <c r="F56" s="11"/>
      <c r="G56" s="11"/>
      <c r="H56" s="220"/>
      <c r="I56" s="220"/>
      <c r="J56" s="223"/>
      <c r="K56" s="303"/>
      <c r="L56" s="303"/>
      <c r="M56" s="303"/>
      <c r="N56" s="303"/>
      <c r="O56" s="225"/>
      <c r="P56" s="297"/>
      <c r="Q56" s="300"/>
      <c r="R56" s="297"/>
      <c r="S56" s="300"/>
    </row>
    <row r="57" spans="1:19" x14ac:dyDescent="0.2">
      <c r="A57" s="3"/>
      <c r="B57" s="2"/>
      <c r="C57" s="2"/>
      <c r="D57" s="11"/>
      <c r="E57" s="10"/>
      <c r="F57" s="11"/>
      <c r="G57" s="11"/>
      <c r="H57" s="220"/>
      <c r="I57" s="220"/>
      <c r="J57" s="223"/>
      <c r="K57" s="303"/>
      <c r="L57" s="303"/>
      <c r="M57" s="303"/>
      <c r="N57" s="303"/>
      <c r="O57" s="225"/>
      <c r="P57" s="298"/>
      <c r="Q57" s="301"/>
      <c r="R57" s="298"/>
      <c r="S57" s="301"/>
    </row>
    <row r="58" spans="1:19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226"/>
      <c r="L58" s="226"/>
      <c r="M58" s="226"/>
      <c r="N58" s="226"/>
      <c r="O58" s="5"/>
      <c r="P58" s="226"/>
      <c r="Q58" s="226"/>
      <c r="R58" s="226"/>
      <c r="S58" s="226"/>
    </row>
  </sheetData>
  <mergeCells count="75">
    <mergeCell ref="I27:I37"/>
    <mergeCell ref="R44:S44"/>
    <mergeCell ref="P5:P16"/>
    <mergeCell ref="Q5:Q16"/>
    <mergeCell ref="R5:R16"/>
    <mergeCell ref="S5:S16"/>
    <mergeCell ref="P26:P29"/>
    <mergeCell ref="Q26:Q29"/>
    <mergeCell ref="R26:R29"/>
    <mergeCell ref="S26:S29"/>
    <mergeCell ref="N26:N28"/>
    <mergeCell ref="M29:M37"/>
    <mergeCell ref="L29:L37"/>
    <mergeCell ref="P44:Q44"/>
    <mergeCell ref="K44:N44"/>
    <mergeCell ref="M5:M7"/>
    <mergeCell ref="R2:S2"/>
    <mergeCell ref="R3:S3"/>
    <mergeCell ref="R23:S23"/>
    <mergeCell ref="R24:S24"/>
    <mergeCell ref="N29:N37"/>
    <mergeCell ref="N8:N16"/>
    <mergeCell ref="N5:N7"/>
    <mergeCell ref="P23:Q23"/>
    <mergeCell ref="P24:Q24"/>
    <mergeCell ref="P2:Q2"/>
    <mergeCell ref="P3:Q3"/>
    <mergeCell ref="K2:N2"/>
    <mergeCell ref="L26:L28"/>
    <mergeCell ref="K26:K28"/>
    <mergeCell ref="K3:N3"/>
    <mergeCell ref="L5:L7"/>
    <mergeCell ref="A44:A45"/>
    <mergeCell ref="B44:C44"/>
    <mergeCell ref="D44:E44"/>
    <mergeCell ref="F44:G44"/>
    <mergeCell ref="H44:I44"/>
    <mergeCell ref="F23:G23"/>
    <mergeCell ref="H23:I23"/>
    <mergeCell ref="B24:C24"/>
    <mergeCell ref="D24:E24"/>
    <mergeCell ref="F24:G24"/>
    <mergeCell ref="H24:I24"/>
    <mergeCell ref="M46:M48"/>
    <mergeCell ref="N46:N48"/>
    <mergeCell ref="K24:N24"/>
    <mergeCell ref="K29:K37"/>
    <mergeCell ref="A2:A4"/>
    <mergeCell ref="B2:C2"/>
    <mergeCell ref="D2:E2"/>
    <mergeCell ref="F2:G2"/>
    <mergeCell ref="H2:I2"/>
    <mergeCell ref="B3:C3"/>
    <mergeCell ref="D3:E3"/>
    <mergeCell ref="F3:G3"/>
    <mergeCell ref="H3:I3"/>
    <mergeCell ref="A23:A25"/>
    <mergeCell ref="B23:C23"/>
    <mergeCell ref="D23:E23"/>
    <mergeCell ref="K5:K7"/>
    <mergeCell ref="P46:P57"/>
    <mergeCell ref="Q46:Q57"/>
    <mergeCell ref="R46:R57"/>
    <mergeCell ref="S46:S57"/>
    <mergeCell ref="K49:K57"/>
    <mergeCell ref="L49:L57"/>
    <mergeCell ref="M49:M57"/>
    <mergeCell ref="N49:N57"/>
    <mergeCell ref="K8:K16"/>
    <mergeCell ref="K23:N23"/>
    <mergeCell ref="M8:M16"/>
    <mergeCell ref="M26:M28"/>
    <mergeCell ref="L8:L16"/>
    <mergeCell ref="K46:K48"/>
    <mergeCell ref="L46:L48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9C480-C84F-4C9F-92CB-99167328F36C}">
  <dimension ref="A1:Q58"/>
  <sheetViews>
    <sheetView topLeftCell="A22" workbookViewId="0">
      <selection activeCell="A44" sqref="A44:O62"/>
    </sheetView>
  </sheetViews>
  <sheetFormatPr defaultRowHeight="12.75" x14ac:dyDescent="0.2"/>
  <cols>
    <col min="1" max="1" width="12.7109375" style="161" customWidth="1"/>
    <col min="2" max="15" width="11.7109375" style="161" customWidth="1"/>
    <col min="16" max="16" width="11.85546875" style="161" customWidth="1"/>
    <col min="17" max="17" width="10.85546875" style="161" customWidth="1"/>
    <col min="18" max="16384" width="9.140625" style="161"/>
  </cols>
  <sheetData>
    <row r="1" spans="1:17" ht="15" x14ac:dyDescent="0.2">
      <c r="A1" s="165" t="s">
        <v>134</v>
      </c>
      <c r="B1" s="163"/>
      <c r="C1" s="163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73" t="s">
        <v>33</v>
      </c>
    </row>
    <row r="2" spans="1:17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54"/>
      <c r="I2" s="350"/>
      <c r="J2" s="351" t="s">
        <v>133</v>
      </c>
      <c r="K2" s="352"/>
      <c r="L2" s="352"/>
      <c r="M2" s="353"/>
      <c r="N2" s="362" t="s">
        <v>132</v>
      </c>
      <c r="O2" s="362"/>
      <c r="P2" s="362" t="s">
        <v>131</v>
      </c>
      <c r="Q2" s="362"/>
    </row>
    <row r="3" spans="1:17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29</v>
      </c>
      <c r="I3" s="350"/>
      <c r="J3" s="355" t="s">
        <v>14</v>
      </c>
      <c r="K3" s="356"/>
      <c r="L3" s="356"/>
      <c r="M3" s="357"/>
      <c r="N3" s="361" t="s">
        <v>62</v>
      </c>
      <c r="O3" s="361"/>
      <c r="P3" s="361" t="s">
        <v>63</v>
      </c>
      <c r="Q3" s="361"/>
    </row>
    <row r="4" spans="1:17" ht="14.25" customHeight="1" x14ac:dyDescent="0.2">
      <c r="A4" s="368"/>
      <c r="B4" s="159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5" t="s">
        <v>18</v>
      </c>
      <c r="I4" s="155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  <c r="P4" s="153" t="s">
        <v>23</v>
      </c>
      <c r="Q4" s="153" t="s">
        <v>24</v>
      </c>
    </row>
    <row r="5" spans="1:17" x14ac:dyDescent="0.2">
      <c r="A5" s="149" t="s">
        <v>0</v>
      </c>
      <c r="B5" s="158"/>
      <c r="C5" s="148"/>
      <c r="D5" s="169"/>
      <c r="E5" s="154"/>
      <c r="F5" s="148"/>
      <c r="G5" s="148"/>
      <c r="H5" s="148"/>
      <c r="I5" s="148"/>
      <c r="J5" s="428">
        <v>1066</v>
      </c>
      <c r="K5" s="428">
        <v>0</v>
      </c>
      <c r="L5" s="428">
        <v>1066</v>
      </c>
      <c r="M5" s="428">
        <v>4366.3999999999996</v>
      </c>
      <c r="N5" s="431">
        <v>2</v>
      </c>
      <c r="O5" s="434">
        <v>72.400000000000006</v>
      </c>
      <c r="P5" s="431">
        <v>2</v>
      </c>
      <c r="Q5" s="434">
        <v>63.48</v>
      </c>
    </row>
    <row r="6" spans="1:17" x14ac:dyDescent="0.2">
      <c r="A6" s="149" t="s">
        <v>1</v>
      </c>
      <c r="B6" s="158"/>
      <c r="C6" s="148"/>
      <c r="D6" s="170"/>
      <c r="E6" s="154"/>
      <c r="F6" s="148"/>
      <c r="G6" s="148"/>
      <c r="H6" s="148"/>
      <c r="I6" s="148"/>
      <c r="J6" s="429"/>
      <c r="K6" s="429"/>
      <c r="L6" s="429"/>
      <c r="M6" s="429"/>
      <c r="N6" s="432"/>
      <c r="O6" s="435"/>
      <c r="P6" s="432"/>
      <c r="Q6" s="435"/>
    </row>
    <row r="7" spans="1:17" x14ac:dyDescent="0.2">
      <c r="A7" s="149" t="s">
        <v>2</v>
      </c>
      <c r="B7" s="158"/>
      <c r="C7" s="148"/>
      <c r="D7" s="170"/>
      <c r="E7" s="154"/>
      <c r="F7" s="148"/>
      <c r="G7" s="148"/>
      <c r="H7" s="148"/>
      <c r="I7" s="148"/>
      <c r="J7" s="430"/>
      <c r="K7" s="430"/>
      <c r="L7" s="430"/>
      <c r="M7" s="430"/>
      <c r="N7" s="432"/>
      <c r="O7" s="435"/>
      <c r="P7" s="432"/>
      <c r="Q7" s="435"/>
    </row>
    <row r="8" spans="1:17" x14ac:dyDescent="0.2">
      <c r="A8" s="149" t="s">
        <v>3</v>
      </c>
      <c r="B8" s="158"/>
      <c r="C8" s="148"/>
      <c r="D8" s="170"/>
      <c r="E8" s="154"/>
      <c r="F8" s="148"/>
      <c r="G8" s="148"/>
      <c r="H8" s="148"/>
      <c r="I8" s="148"/>
      <c r="J8" s="428">
        <v>698.66</v>
      </c>
      <c r="K8" s="428">
        <v>0</v>
      </c>
      <c r="L8" s="428">
        <v>699</v>
      </c>
      <c r="M8" s="428">
        <v>4063.97</v>
      </c>
      <c r="N8" s="432"/>
      <c r="O8" s="435"/>
      <c r="P8" s="432"/>
      <c r="Q8" s="435"/>
    </row>
    <row r="9" spans="1:17" x14ac:dyDescent="0.2">
      <c r="A9" s="149" t="s">
        <v>4</v>
      </c>
      <c r="B9" s="158"/>
      <c r="C9" s="148"/>
      <c r="D9" s="170"/>
      <c r="E9" s="154"/>
      <c r="F9" s="148"/>
      <c r="G9" s="148"/>
      <c r="H9" s="148"/>
      <c r="I9" s="148"/>
      <c r="J9" s="429"/>
      <c r="K9" s="429"/>
      <c r="L9" s="429"/>
      <c r="M9" s="429"/>
      <c r="N9" s="432"/>
      <c r="O9" s="435"/>
      <c r="P9" s="432"/>
      <c r="Q9" s="435"/>
    </row>
    <row r="10" spans="1:17" x14ac:dyDescent="0.2">
      <c r="A10" s="149" t="s">
        <v>5</v>
      </c>
      <c r="B10" s="158"/>
      <c r="C10" s="148"/>
      <c r="D10" s="170"/>
      <c r="E10" s="154"/>
      <c r="F10" s="148"/>
      <c r="G10" s="148"/>
      <c r="H10" s="148"/>
      <c r="I10" s="148"/>
      <c r="J10" s="429"/>
      <c r="K10" s="429"/>
      <c r="L10" s="429"/>
      <c r="M10" s="429"/>
      <c r="N10" s="432"/>
      <c r="O10" s="435"/>
      <c r="P10" s="432"/>
      <c r="Q10" s="435"/>
    </row>
    <row r="11" spans="1:17" x14ac:dyDescent="0.2">
      <c r="A11" s="149" t="s">
        <v>6</v>
      </c>
      <c r="B11" s="158"/>
      <c r="C11" s="148"/>
      <c r="D11" s="170"/>
      <c r="E11" s="154"/>
      <c r="F11" s="148"/>
      <c r="G11" s="148"/>
      <c r="H11" s="148"/>
      <c r="I11" s="148"/>
      <c r="J11" s="429"/>
      <c r="K11" s="429"/>
      <c r="L11" s="429"/>
      <c r="M11" s="429"/>
      <c r="N11" s="432"/>
      <c r="O11" s="435"/>
      <c r="P11" s="432"/>
      <c r="Q11" s="435"/>
    </row>
    <row r="12" spans="1:17" x14ac:dyDescent="0.2">
      <c r="A12" s="149" t="s">
        <v>7</v>
      </c>
      <c r="B12" s="158"/>
      <c r="C12" s="148"/>
      <c r="D12" s="170"/>
      <c r="E12" s="154"/>
      <c r="F12" s="148"/>
      <c r="G12" s="148"/>
      <c r="H12" s="148"/>
      <c r="I12" s="148"/>
      <c r="J12" s="429"/>
      <c r="K12" s="429"/>
      <c r="L12" s="429"/>
      <c r="M12" s="429"/>
      <c r="N12" s="432"/>
      <c r="O12" s="435"/>
      <c r="P12" s="432"/>
      <c r="Q12" s="435"/>
    </row>
    <row r="13" spans="1:17" x14ac:dyDescent="0.2">
      <c r="A13" s="149" t="s">
        <v>8</v>
      </c>
      <c r="B13" s="158"/>
      <c r="C13" s="148"/>
      <c r="D13" s="170"/>
      <c r="E13" s="154"/>
      <c r="F13" s="148"/>
      <c r="G13" s="148"/>
      <c r="H13" s="148"/>
      <c r="I13" s="148"/>
      <c r="J13" s="429"/>
      <c r="K13" s="429"/>
      <c r="L13" s="429"/>
      <c r="M13" s="429"/>
      <c r="N13" s="432"/>
      <c r="O13" s="435"/>
      <c r="P13" s="432"/>
      <c r="Q13" s="435"/>
    </row>
    <row r="14" spans="1:17" x14ac:dyDescent="0.2">
      <c r="A14" s="149" t="s">
        <v>9</v>
      </c>
      <c r="B14" s="158"/>
      <c r="C14" s="148"/>
      <c r="D14" s="170"/>
      <c r="E14" s="154"/>
      <c r="F14" s="148"/>
      <c r="G14" s="148"/>
      <c r="H14" s="148"/>
      <c r="I14" s="148"/>
      <c r="J14" s="429"/>
      <c r="K14" s="429"/>
      <c r="L14" s="429"/>
      <c r="M14" s="429"/>
      <c r="N14" s="432"/>
      <c r="O14" s="435"/>
      <c r="P14" s="432"/>
      <c r="Q14" s="435"/>
    </row>
    <row r="15" spans="1:17" x14ac:dyDescent="0.2">
      <c r="A15" s="149" t="s">
        <v>10</v>
      </c>
      <c r="B15" s="158"/>
      <c r="C15" s="148"/>
      <c r="D15" s="170"/>
      <c r="E15" s="154"/>
      <c r="F15" s="148"/>
      <c r="G15" s="148"/>
      <c r="H15" s="148"/>
      <c r="I15" s="148"/>
      <c r="J15" s="429"/>
      <c r="K15" s="429"/>
      <c r="L15" s="429"/>
      <c r="M15" s="429"/>
      <c r="N15" s="432"/>
      <c r="O15" s="435"/>
      <c r="P15" s="432"/>
      <c r="Q15" s="435"/>
    </row>
    <row r="16" spans="1:17" x14ac:dyDescent="0.2">
      <c r="A16" s="149" t="s">
        <v>11</v>
      </c>
      <c r="B16" s="158"/>
      <c r="C16" s="148"/>
      <c r="D16" s="170"/>
      <c r="E16" s="154"/>
      <c r="F16" s="148"/>
      <c r="G16" s="148"/>
      <c r="H16" s="148"/>
      <c r="I16" s="148"/>
      <c r="J16" s="430"/>
      <c r="K16" s="430"/>
      <c r="L16" s="430"/>
      <c r="M16" s="430"/>
      <c r="N16" s="433"/>
      <c r="O16" s="436"/>
      <c r="P16" s="433"/>
      <c r="Q16" s="436"/>
    </row>
    <row r="17" spans="1:17" x14ac:dyDescent="0.2">
      <c r="A17" s="104" t="s">
        <v>20</v>
      </c>
      <c r="B17" s="112">
        <f t="shared" ref="B17:G17" si="0">SUM(B5:B16)</f>
        <v>0</v>
      </c>
      <c r="C17" s="103">
        <f t="shared" si="0"/>
        <v>0</v>
      </c>
      <c r="D17" s="112">
        <f t="shared" si="0"/>
        <v>0</v>
      </c>
      <c r="E17" s="103">
        <f t="shared" si="0"/>
        <v>0</v>
      </c>
      <c r="F17" s="103">
        <f t="shared" si="0"/>
        <v>0</v>
      </c>
      <c r="G17" s="103">
        <f t="shared" si="0"/>
        <v>0</v>
      </c>
      <c r="H17" s="103"/>
      <c r="I17" s="103"/>
      <c r="J17" s="103">
        <f>SUM(J5:J16)</f>
        <v>1764.6599999999999</v>
      </c>
      <c r="K17" s="103">
        <f>SUM(K5:K16)</f>
        <v>0</v>
      </c>
      <c r="L17" s="103">
        <f>SUM(L5:L16)</f>
        <v>1765</v>
      </c>
      <c r="M17" s="103">
        <f>SUM(M5:M16)</f>
        <v>8430.369999999999</v>
      </c>
      <c r="N17" s="103">
        <f>SUM(N5)</f>
        <v>2</v>
      </c>
      <c r="O17" s="103">
        <f>SUM(O5:O15)</f>
        <v>72.400000000000006</v>
      </c>
      <c r="P17" s="103">
        <f>SUM(P5:P15)</f>
        <v>2</v>
      </c>
      <c r="Q17" s="103">
        <f>SUM(Q5:Q15)</f>
        <v>63.48</v>
      </c>
    </row>
    <row r="18" spans="1:17" x14ac:dyDescent="0.2">
      <c r="A18" s="162"/>
      <c r="B18" s="162"/>
      <c r="C18" s="162"/>
      <c r="D18" s="162"/>
      <c r="E18" s="166"/>
      <c r="F18" s="171"/>
      <c r="G18" s="172"/>
      <c r="H18" s="171"/>
      <c r="I18" s="172"/>
      <c r="J18" s="205" t="s">
        <v>67</v>
      </c>
      <c r="K18" s="167"/>
      <c r="L18" s="167"/>
      <c r="M18" s="168"/>
      <c r="N18" s="120" t="s">
        <v>64</v>
      </c>
      <c r="O18" s="168"/>
      <c r="P18" s="120" t="s">
        <v>64</v>
      </c>
    </row>
    <row r="19" spans="1:17" x14ac:dyDescent="0.2">
      <c r="A19" s="162"/>
      <c r="B19" s="162"/>
      <c r="C19" s="162"/>
      <c r="D19" s="162"/>
      <c r="E19" s="162"/>
      <c r="F19" s="162"/>
      <c r="G19" s="162"/>
      <c r="H19" s="162"/>
      <c r="I19" s="162"/>
      <c r="J19" s="162" t="s">
        <v>104</v>
      </c>
      <c r="K19" s="162"/>
      <c r="L19" s="162"/>
      <c r="M19" s="162"/>
      <c r="N19" s="162" t="s">
        <v>65</v>
      </c>
      <c r="O19" s="162"/>
      <c r="P19" s="162" t="s">
        <v>65</v>
      </c>
    </row>
    <row r="20" spans="1:17" x14ac:dyDescent="0.2">
      <c r="J20" s="133" t="s">
        <v>120</v>
      </c>
    </row>
    <row r="23" spans="1:17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414" t="s">
        <v>133</v>
      </c>
      <c r="K23" s="356"/>
      <c r="L23" s="356"/>
      <c r="M23" s="357"/>
      <c r="N23" s="362" t="s">
        <v>132</v>
      </c>
      <c r="O23" s="362"/>
      <c r="P23" s="362" t="s">
        <v>131</v>
      </c>
      <c r="Q23" s="362"/>
    </row>
    <row r="24" spans="1:17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62</v>
      </c>
      <c r="O24" s="361"/>
      <c r="P24" s="361" t="s">
        <v>63</v>
      </c>
      <c r="Q24" s="361"/>
    </row>
    <row r="25" spans="1:17" ht="14.25" x14ac:dyDescent="0.2">
      <c r="A25" s="368"/>
      <c r="B25" s="159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5" t="s">
        <v>18</v>
      </c>
      <c r="I25" s="155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17</v>
      </c>
      <c r="P25" s="153" t="s">
        <v>23</v>
      </c>
      <c r="Q25" s="153" t="s">
        <v>17</v>
      </c>
    </row>
    <row r="26" spans="1:17" x14ac:dyDescent="0.2">
      <c r="A26" s="149" t="s">
        <v>0</v>
      </c>
      <c r="B26" s="158"/>
      <c r="C26" s="148"/>
      <c r="D26" s="169"/>
      <c r="E26" s="154"/>
      <c r="F26" s="148"/>
      <c r="G26" s="148"/>
      <c r="H26" s="148"/>
      <c r="I26" s="148"/>
      <c r="J26" s="428">
        <v>974</v>
      </c>
      <c r="K26" s="428">
        <v>0</v>
      </c>
      <c r="L26" s="428">
        <v>974</v>
      </c>
      <c r="M26" s="428">
        <v>4249.59</v>
      </c>
      <c r="N26" s="425">
        <v>33</v>
      </c>
      <c r="O26" s="425">
        <v>1336.5</v>
      </c>
      <c r="P26" s="425">
        <v>33</v>
      </c>
      <c r="Q26" s="425">
        <v>1154.3399999999999</v>
      </c>
    </row>
    <row r="27" spans="1:17" x14ac:dyDescent="0.2">
      <c r="A27" s="149" t="s">
        <v>1</v>
      </c>
      <c r="B27" s="158"/>
      <c r="C27" s="148"/>
      <c r="D27" s="170"/>
      <c r="E27" s="154"/>
      <c r="F27" s="148"/>
      <c r="G27" s="148"/>
      <c r="H27" s="148"/>
      <c r="I27" s="148"/>
      <c r="J27" s="429"/>
      <c r="K27" s="429"/>
      <c r="L27" s="429"/>
      <c r="M27" s="429"/>
      <c r="N27" s="426"/>
      <c r="O27" s="426"/>
      <c r="P27" s="426"/>
      <c r="Q27" s="426"/>
    </row>
    <row r="28" spans="1:17" x14ac:dyDescent="0.2">
      <c r="A28" s="149" t="s">
        <v>2</v>
      </c>
      <c r="B28" s="158"/>
      <c r="C28" s="148"/>
      <c r="D28" s="170"/>
      <c r="E28" s="154"/>
      <c r="F28" s="148"/>
      <c r="G28" s="148"/>
      <c r="H28" s="148"/>
      <c r="I28" s="148"/>
      <c r="J28" s="430"/>
      <c r="K28" s="430"/>
      <c r="L28" s="430"/>
      <c r="M28" s="430"/>
      <c r="N28" s="426"/>
      <c r="O28" s="426"/>
      <c r="P28" s="426"/>
      <c r="Q28" s="426"/>
    </row>
    <row r="29" spans="1:17" x14ac:dyDescent="0.2">
      <c r="A29" s="149" t="s">
        <v>3</v>
      </c>
      <c r="B29" s="158"/>
      <c r="C29" s="148"/>
      <c r="D29" s="170"/>
      <c r="E29" s="154"/>
      <c r="F29" s="148"/>
      <c r="G29" s="148"/>
      <c r="H29" s="148"/>
      <c r="I29" s="148"/>
      <c r="J29" s="428">
        <v>1109</v>
      </c>
      <c r="K29" s="428">
        <v>0</v>
      </c>
      <c r="L29" s="428">
        <v>1109</v>
      </c>
      <c r="M29" s="428">
        <v>5524.17</v>
      </c>
      <c r="N29" s="427"/>
      <c r="O29" s="427"/>
      <c r="P29" s="427"/>
      <c r="Q29" s="427"/>
    </row>
    <row r="30" spans="1:17" x14ac:dyDescent="0.2">
      <c r="A30" s="149" t="s">
        <v>4</v>
      </c>
      <c r="B30" s="158"/>
      <c r="C30" s="148"/>
      <c r="D30" s="170"/>
      <c r="E30" s="154"/>
      <c r="F30" s="148"/>
      <c r="G30" s="148"/>
      <c r="H30" s="148"/>
      <c r="I30" s="148"/>
      <c r="J30" s="429"/>
      <c r="K30" s="429"/>
      <c r="L30" s="429"/>
      <c r="M30" s="429"/>
      <c r="N30" s="425">
        <v>3</v>
      </c>
      <c r="O30" s="425">
        <v>121.5</v>
      </c>
      <c r="P30" s="425">
        <v>3</v>
      </c>
      <c r="Q30" s="425">
        <v>104.94</v>
      </c>
    </row>
    <row r="31" spans="1:17" x14ac:dyDescent="0.2">
      <c r="A31" s="149" t="s">
        <v>5</v>
      </c>
      <c r="B31" s="158"/>
      <c r="C31" s="148"/>
      <c r="D31" s="170"/>
      <c r="E31" s="154"/>
      <c r="F31" s="148"/>
      <c r="G31" s="148"/>
      <c r="H31" s="148"/>
      <c r="I31" s="148"/>
      <c r="J31" s="429"/>
      <c r="K31" s="429"/>
      <c r="L31" s="429"/>
      <c r="M31" s="429"/>
      <c r="N31" s="426"/>
      <c r="O31" s="426"/>
      <c r="P31" s="426"/>
      <c r="Q31" s="426"/>
    </row>
    <row r="32" spans="1:17" x14ac:dyDescent="0.2">
      <c r="A32" s="149" t="s">
        <v>6</v>
      </c>
      <c r="B32" s="158"/>
      <c r="C32" s="148"/>
      <c r="D32" s="170"/>
      <c r="E32" s="154"/>
      <c r="F32" s="148"/>
      <c r="G32" s="148"/>
      <c r="H32" s="148"/>
      <c r="I32" s="148"/>
      <c r="J32" s="429"/>
      <c r="K32" s="429"/>
      <c r="L32" s="429"/>
      <c r="M32" s="429"/>
      <c r="N32" s="426"/>
      <c r="O32" s="426"/>
      <c r="P32" s="426"/>
      <c r="Q32" s="426"/>
    </row>
    <row r="33" spans="1:17" x14ac:dyDescent="0.2">
      <c r="A33" s="149" t="s">
        <v>7</v>
      </c>
      <c r="B33" s="158"/>
      <c r="C33" s="148"/>
      <c r="D33" s="170"/>
      <c r="E33" s="154"/>
      <c r="F33" s="148"/>
      <c r="G33" s="148"/>
      <c r="H33" s="148"/>
      <c r="I33" s="148"/>
      <c r="J33" s="429"/>
      <c r="K33" s="429"/>
      <c r="L33" s="429"/>
      <c r="M33" s="429"/>
      <c r="N33" s="426"/>
      <c r="O33" s="426"/>
      <c r="P33" s="426"/>
      <c r="Q33" s="426"/>
    </row>
    <row r="34" spans="1:17" x14ac:dyDescent="0.2">
      <c r="A34" s="149" t="s">
        <v>8</v>
      </c>
      <c r="B34" s="158"/>
      <c r="C34" s="148"/>
      <c r="D34" s="170"/>
      <c r="E34" s="154"/>
      <c r="F34" s="148"/>
      <c r="G34" s="148"/>
      <c r="H34" s="148"/>
      <c r="I34" s="148"/>
      <c r="J34" s="429"/>
      <c r="K34" s="429"/>
      <c r="L34" s="429"/>
      <c r="M34" s="429"/>
      <c r="N34" s="426"/>
      <c r="O34" s="426"/>
      <c r="P34" s="426"/>
      <c r="Q34" s="426"/>
    </row>
    <row r="35" spans="1:17" x14ac:dyDescent="0.2">
      <c r="A35" s="149" t="s">
        <v>9</v>
      </c>
      <c r="B35" s="158"/>
      <c r="C35" s="148"/>
      <c r="D35" s="170"/>
      <c r="E35" s="154"/>
      <c r="F35" s="148"/>
      <c r="G35" s="148"/>
      <c r="H35" s="148"/>
      <c r="I35" s="148"/>
      <c r="J35" s="429"/>
      <c r="K35" s="429"/>
      <c r="L35" s="429"/>
      <c r="M35" s="429"/>
      <c r="N35" s="426"/>
      <c r="O35" s="426"/>
      <c r="P35" s="426"/>
      <c r="Q35" s="426"/>
    </row>
    <row r="36" spans="1:17" x14ac:dyDescent="0.2">
      <c r="A36" s="149" t="s">
        <v>10</v>
      </c>
      <c r="B36" s="158"/>
      <c r="C36" s="148"/>
      <c r="D36" s="170"/>
      <c r="E36" s="154"/>
      <c r="F36" s="148"/>
      <c r="G36" s="148"/>
      <c r="H36" s="148"/>
      <c r="I36" s="148"/>
      <c r="J36" s="429"/>
      <c r="K36" s="429"/>
      <c r="L36" s="429"/>
      <c r="M36" s="429"/>
      <c r="N36" s="426"/>
      <c r="O36" s="426"/>
      <c r="P36" s="426"/>
      <c r="Q36" s="426"/>
    </row>
    <row r="37" spans="1:17" x14ac:dyDescent="0.2">
      <c r="A37" s="149" t="s">
        <v>11</v>
      </c>
      <c r="B37" s="158"/>
      <c r="C37" s="148"/>
      <c r="D37" s="170"/>
      <c r="E37" s="154"/>
      <c r="F37" s="148"/>
      <c r="G37" s="148"/>
      <c r="H37" s="148"/>
      <c r="I37" s="148"/>
      <c r="J37" s="430"/>
      <c r="K37" s="430"/>
      <c r="L37" s="430"/>
      <c r="M37" s="430"/>
      <c r="N37" s="427"/>
      <c r="O37" s="427"/>
      <c r="P37" s="427"/>
      <c r="Q37" s="427"/>
    </row>
    <row r="38" spans="1:17" x14ac:dyDescent="0.2">
      <c r="A38" s="104" t="s">
        <v>20</v>
      </c>
      <c r="B38" s="112">
        <f t="shared" ref="B38:G38" si="1">SUM(B26:B37)</f>
        <v>0</v>
      </c>
      <c r="C38" s="103">
        <f t="shared" si="1"/>
        <v>0</v>
      </c>
      <c r="D38" s="112">
        <f t="shared" si="1"/>
        <v>0</v>
      </c>
      <c r="E38" s="103">
        <f t="shared" si="1"/>
        <v>0</v>
      </c>
      <c r="F38" s="103">
        <f t="shared" si="1"/>
        <v>0</v>
      </c>
      <c r="G38" s="103">
        <f t="shared" si="1"/>
        <v>0</v>
      </c>
      <c r="H38" s="103"/>
      <c r="I38" s="103"/>
      <c r="J38" s="103">
        <f>SUM(J26:J37)</f>
        <v>2083</v>
      </c>
      <c r="K38" s="103">
        <f>SUM(K26:K37)</f>
        <v>0</v>
      </c>
      <c r="L38" s="103">
        <f>SUM(L26:L37)</f>
        <v>2083</v>
      </c>
      <c r="M38" s="103">
        <f>SUM(M26:M37)</f>
        <v>9773.76</v>
      </c>
      <c r="N38" s="103">
        <f>SUM(N26:N36)</f>
        <v>36</v>
      </c>
      <c r="O38" s="103">
        <f>SUM(O26:O36)</f>
        <v>1458</v>
      </c>
      <c r="P38" s="103">
        <f>SUM(P26:P36)</f>
        <v>36</v>
      </c>
      <c r="Q38" s="103">
        <f>SUM(Q26:Q36)</f>
        <v>1259.28</v>
      </c>
    </row>
    <row r="39" spans="1:17" x14ac:dyDescent="0.2">
      <c r="J39" s="205" t="s">
        <v>64</v>
      </c>
      <c r="N39" s="120" t="s">
        <v>67</v>
      </c>
      <c r="O39" s="168"/>
      <c r="P39" s="120" t="s">
        <v>67</v>
      </c>
      <c r="Q39" s="168"/>
    </row>
    <row r="40" spans="1:17" x14ac:dyDescent="0.2">
      <c r="J40" s="162" t="s">
        <v>130</v>
      </c>
      <c r="N40" s="137" t="s">
        <v>68</v>
      </c>
      <c r="O40" s="162"/>
      <c r="P40" s="137" t="s">
        <v>68</v>
      </c>
      <c r="Q40" s="162"/>
    </row>
    <row r="41" spans="1:17" x14ac:dyDescent="0.2">
      <c r="J41" s="133" t="s">
        <v>129</v>
      </c>
      <c r="N41" s="138" t="s">
        <v>69</v>
      </c>
      <c r="P41" s="138" t="s">
        <v>69</v>
      </c>
    </row>
    <row r="44" spans="1:17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17" x14ac:dyDescent="0.2">
      <c r="A45" s="371"/>
      <c r="B45" s="151"/>
      <c r="C45" s="151"/>
      <c r="D45" s="151"/>
      <c r="E45" s="151"/>
      <c r="F45" s="151"/>
      <c r="G45" s="151"/>
      <c r="H45" s="155"/>
      <c r="I45" s="155"/>
      <c r="J45" s="152"/>
      <c r="K45" s="152"/>
      <c r="L45" s="152"/>
      <c r="M45" s="152"/>
      <c r="N45" s="153"/>
      <c r="O45" s="153"/>
    </row>
    <row r="46" spans="1:17" x14ac:dyDescent="0.2">
      <c r="A46" s="149"/>
      <c r="B46" s="148"/>
      <c r="C46" s="148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17" x14ac:dyDescent="0.2">
      <c r="A47" s="149"/>
      <c r="B47" s="148"/>
      <c r="C47" s="148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17" x14ac:dyDescent="0.2">
      <c r="A48" s="149"/>
      <c r="B48" s="148"/>
      <c r="C48" s="148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49"/>
      <c r="B49" s="148"/>
      <c r="C49" s="148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49"/>
      <c r="B50" s="148"/>
      <c r="C50" s="148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49"/>
      <c r="B51" s="148"/>
      <c r="C51" s="148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49"/>
      <c r="B52" s="148"/>
      <c r="C52" s="148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49"/>
      <c r="B53" s="148"/>
      <c r="C53" s="148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49"/>
      <c r="B54" s="148"/>
      <c r="C54" s="148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49"/>
      <c r="B55" s="148"/>
      <c r="C55" s="148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49"/>
      <c r="B56" s="148"/>
      <c r="C56" s="148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49"/>
      <c r="B57" s="148"/>
      <c r="C57" s="148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65">
    <mergeCell ref="J26:J28"/>
    <mergeCell ref="K26:K28"/>
    <mergeCell ref="L26:L28"/>
    <mergeCell ref="M26:M28"/>
    <mergeCell ref="O30:O37"/>
    <mergeCell ref="J29:J37"/>
    <mergeCell ref="K29:K37"/>
    <mergeCell ref="L29:L37"/>
    <mergeCell ref="M29:M37"/>
    <mergeCell ref="Q30:Q37"/>
    <mergeCell ref="P23:Q23"/>
    <mergeCell ref="P24:Q24"/>
    <mergeCell ref="O26:O29"/>
    <mergeCell ref="P26:P29"/>
    <mergeCell ref="Q26:Q29"/>
    <mergeCell ref="N23:O23"/>
    <mergeCell ref="N24:O24"/>
    <mergeCell ref="N30:N37"/>
    <mergeCell ref="N26:N29"/>
    <mergeCell ref="P30:P37"/>
    <mergeCell ref="P2:Q2"/>
    <mergeCell ref="P3:Q3"/>
    <mergeCell ref="N5:N16"/>
    <mergeCell ref="O5:O16"/>
    <mergeCell ref="P5:P16"/>
    <mergeCell ref="Q5:Q16"/>
    <mergeCell ref="N2:O2"/>
    <mergeCell ref="N3:O3"/>
    <mergeCell ref="N44:O44"/>
    <mergeCell ref="A44:A45"/>
    <mergeCell ref="B44:C44"/>
    <mergeCell ref="D44:E44"/>
    <mergeCell ref="F44:G44"/>
    <mergeCell ref="H44:I44"/>
    <mergeCell ref="J44:M4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A2:A4"/>
    <mergeCell ref="B2:C2"/>
    <mergeCell ref="D2:E2"/>
    <mergeCell ref="F2:G2"/>
    <mergeCell ref="H2:I2"/>
    <mergeCell ref="B3:C3"/>
    <mergeCell ref="D3:E3"/>
    <mergeCell ref="F3:G3"/>
    <mergeCell ref="H3:I3"/>
    <mergeCell ref="L8:L16"/>
    <mergeCell ref="M8:M16"/>
    <mergeCell ref="J2:M2"/>
    <mergeCell ref="J3:M3"/>
    <mergeCell ref="J24:M24"/>
    <mergeCell ref="J5:J7"/>
    <mergeCell ref="K5:K7"/>
    <mergeCell ref="L5:L7"/>
    <mergeCell ref="M5:M7"/>
    <mergeCell ref="J23:M23"/>
    <mergeCell ref="J8:J16"/>
    <mergeCell ref="K8:K16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9716A-1B6A-4DFC-9614-52BDCB07C050}">
  <sheetPr>
    <tabColor theme="0"/>
  </sheetPr>
  <dimension ref="A1:Y58"/>
  <sheetViews>
    <sheetView topLeftCell="A22" workbookViewId="0">
      <selection activeCell="A44" sqref="A44:P63"/>
    </sheetView>
  </sheetViews>
  <sheetFormatPr defaultRowHeight="12.75" x14ac:dyDescent="0.2"/>
  <cols>
    <col min="1" max="1" width="12.7109375" customWidth="1"/>
    <col min="2" max="7" width="11.7109375" hidden="1" customWidth="1"/>
    <col min="8" max="9" width="11.7109375" customWidth="1"/>
    <col min="10" max="10" width="14" customWidth="1"/>
    <col min="11" max="16" width="11.7109375" customWidth="1"/>
    <col min="18" max="19" width="11.28515625" customWidth="1"/>
    <col min="20" max="20" width="11.140625" customWidth="1"/>
    <col min="21" max="21" width="11.28515625" customWidth="1"/>
    <col min="22" max="22" width="12.28515625" customWidth="1"/>
    <col min="23" max="23" width="12.5703125" customWidth="1"/>
  </cols>
  <sheetData>
    <row r="1" spans="1:23" ht="15" x14ac:dyDescent="0.2">
      <c r="A1" s="21" t="s">
        <v>169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57" t="s">
        <v>33</v>
      </c>
      <c r="R1" s="49"/>
    </row>
    <row r="2" spans="1:23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414" t="s">
        <v>135</v>
      </c>
      <c r="L2" s="356"/>
      <c r="M2" s="356"/>
      <c r="N2" s="357"/>
      <c r="O2" s="362" t="s">
        <v>138</v>
      </c>
      <c r="P2" s="361"/>
      <c r="R2" s="414" t="s">
        <v>159</v>
      </c>
      <c r="S2" s="356"/>
      <c r="T2" s="356"/>
      <c r="U2" s="357"/>
      <c r="V2" s="354"/>
      <c r="W2" s="350"/>
    </row>
    <row r="3" spans="1:23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52</v>
      </c>
      <c r="K3" s="355" t="s">
        <v>14</v>
      </c>
      <c r="L3" s="356"/>
      <c r="M3" s="356"/>
      <c r="N3" s="357"/>
      <c r="O3" s="361" t="s">
        <v>62</v>
      </c>
      <c r="P3" s="361"/>
      <c r="R3" s="373" t="s">
        <v>14</v>
      </c>
      <c r="S3" s="373"/>
      <c r="T3" s="373"/>
      <c r="U3" s="373"/>
      <c r="V3" s="354" t="s">
        <v>29</v>
      </c>
      <c r="W3" s="350"/>
    </row>
    <row r="4" spans="1:23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152" t="s">
        <v>35</v>
      </c>
      <c r="L4" s="152" t="s">
        <v>36</v>
      </c>
      <c r="M4" s="152" t="s">
        <v>37</v>
      </c>
      <c r="N4" s="152" t="s">
        <v>17</v>
      </c>
      <c r="O4" s="153" t="s">
        <v>23</v>
      </c>
      <c r="P4" s="153" t="s">
        <v>24</v>
      </c>
      <c r="R4" s="152" t="s">
        <v>35</v>
      </c>
      <c r="S4" s="152" t="s">
        <v>36</v>
      </c>
      <c r="T4" s="152" t="s">
        <v>37</v>
      </c>
      <c r="U4" s="152" t="s">
        <v>17</v>
      </c>
      <c r="V4" s="155" t="s">
        <v>18</v>
      </c>
      <c r="W4" s="155" t="s">
        <v>17</v>
      </c>
    </row>
    <row r="5" spans="1:23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59">
        <v>5350.65</v>
      </c>
      <c r="I5" s="259">
        <v>4294.92</v>
      </c>
      <c r="J5" s="2" t="s">
        <v>54</v>
      </c>
      <c r="K5" s="452">
        <v>1629</v>
      </c>
      <c r="L5" s="452">
        <v>0</v>
      </c>
      <c r="M5" s="452">
        <f>K5+L5</f>
        <v>1629</v>
      </c>
      <c r="N5" s="452">
        <v>6491.56</v>
      </c>
      <c r="O5" s="455">
        <v>152</v>
      </c>
      <c r="P5" s="446">
        <v>5502.4</v>
      </c>
      <c r="R5" s="443">
        <v>167.5</v>
      </c>
      <c r="S5" s="443">
        <v>0</v>
      </c>
      <c r="T5" s="443">
        <v>167.5</v>
      </c>
      <c r="U5" s="443">
        <f>531.29+4.74+331.53+175.59</f>
        <v>1043.1499999999999</v>
      </c>
      <c r="V5" s="446">
        <v>3567.08</v>
      </c>
      <c r="W5" s="446">
        <f>3136.37+909.59</f>
        <v>4045.96</v>
      </c>
    </row>
    <row r="6" spans="1:23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59">
        <f>1019.17+2922.8</f>
        <v>3941.9700000000003</v>
      </c>
      <c r="I6" s="259">
        <f>822.81+2430.74</f>
        <v>3253.5499999999997</v>
      </c>
      <c r="J6" s="2"/>
      <c r="K6" s="453"/>
      <c r="L6" s="453"/>
      <c r="M6" s="453"/>
      <c r="N6" s="453"/>
      <c r="O6" s="456"/>
      <c r="P6" s="448"/>
      <c r="R6" s="444"/>
      <c r="S6" s="444"/>
      <c r="T6" s="444"/>
      <c r="U6" s="444"/>
      <c r="V6" s="447"/>
      <c r="W6" s="447"/>
    </row>
    <row r="7" spans="1:23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59">
        <v>2965.31</v>
      </c>
      <c r="I7" s="259">
        <v>2494.2800000000002</v>
      </c>
      <c r="J7" s="2"/>
      <c r="K7" s="453"/>
      <c r="L7" s="453"/>
      <c r="M7" s="453"/>
      <c r="N7" s="453"/>
      <c r="O7" s="456"/>
      <c r="P7" s="448"/>
      <c r="R7" s="445"/>
      <c r="S7" s="445"/>
      <c r="T7" s="445"/>
      <c r="U7" s="445"/>
      <c r="V7" s="446">
        <v>11669.94</v>
      </c>
      <c r="W7" s="446">
        <f>12358.04+2630.75+1234.1+23.94</f>
        <v>16246.830000000002</v>
      </c>
    </row>
    <row r="8" spans="1:23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59">
        <v>1700.54</v>
      </c>
      <c r="I8" s="259">
        <v>1489.7</v>
      </c>
      <c r="J8" s="2"/>
      <c r="K8" s="454"/>
      <c r="L8" s="454"/>
      <c r="M8" s="454"/>
      <c r="N8" s="454"/>
      <c r="O8" s="456"/>
      <c r="P8" s="448"/>
      <c r="R8" s="443">
        <v>443.8</v>
      </c>
      <c r="S8" s="443">
        <v>0</v>
      </c>
      <c r="T8" s="443">
        <f>R8+S8</f>
        <v>443.8</v>
      </c>
      <c r="U8" s="443">
        <f>510.97+177.79+567.74+12.56+162.98+358.68+777.05+33.81+219.68+62.14</f>
        <v>2883.3999999999996</v>
      </c>
      <c r="V8" s="448"/>
      <c r="W8" s="448"/>
    </row>
    <row r="9" spans="1:23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59">
        <v>1456.09</v>
      </c>
      <c r="I9" s="259">
        <v>1295.54</v>
      </c>
      <c r="J9" s="2"/>
      <c r="K9" s="452">
        <v>3665</v>
      </c>
      <c r="L9" s="452">
        <v>0</v>
      </c>
      <c r="M9" s="452">
        <v>3665</v>
      </c>
      <c r="N9" s="452">
        <v>14881.33</v>
      </c>
      <c r="O9" s="456"/>
      <c r="P9" s="448"/>
      <c r="R9" s="444"/>
      <c r="S9" s="444"/>
      <c r="T9" s="444"/>
      <c r="U9" s="444"/>
      <c r="V9" s="448"/>
      <c r="W9" s="448"/>
    </row>
    <row r="10" spans="1:23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59">
        <v>297.58999999999997</v>
      </c>
      <c r="I10" s="259">
        <v>375.36</v>
      </c>
      <c r="J10" s="2"/>
      <c r="K10" s="453"/>
      <c r="L10" s="453"/>
      <c r="M10" s="453"/>
      <c r="N10" s="453"/>
      <c r="O10" s="456"/>
      <c r="P10" s="448"/>
      <c r="R10" s="444"/>
      <c r="S10" s="444"/>
      <c r="T10" s="444"/>
      <c r="U10" s="444"/>
      <c r="V10" s="448"/>
      <c r="W10" s="448"/>
    </row>
    <row r="11" spans="1:23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59">
        <v>371.99</v>
      </c>
      <c r="I11" s="259">
        <v>434.45</v>
      </c>
      <c r="J11" s="2"/>
      <c r="K11" s="453"/>
      <c r="L11" s="453"/>
      <c r="M11" s="453"/>
      <c r="N11" s="453"/>
      <c r="O11" s="456"/>
      <c r="P11" s="448"/>
      <c r="R11" s="444"/>
      <c r="S11" s="444"/>
      <c r="T11" s="444"/>
      <c r="U11" s="444"/>
      <c r="V11" s="448"/>
      <c r="W11" s="448"/>
    </row>
    <row r="12" spans="1:23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59">
        <v>350.74</v>
      </c>
      <c r="I12" s="259">
        <v>417.57</v>
      </c>
      <c r="J12" s="2"/>
      <c r="K12" s="453"/>
      <c r="L12" s="453"/>
      <c r="M12" s="453"/>
      <c r="N12" s="453"/>
      <c r="O12" s="456"/>
      <c r="P12" s="448"/>
      <c r="R12" s="444"/>
      <c r="S12" s="444"/>
      <c r="T12" s="444"/>
      <c r="U12" s="444"/>
      <c r="V12" s="448"/>
      <c r="W12" s="448"/>
    </row>
    <row r="13" spans="1:23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59">
        <v>765.24</v>
      </c>
      <c r="I13" s="259">
        <v>746.81</v>
      </c>
      <c r="J13" s="2"/>
      <c r="K13" s="453"/>
      <c r="L13" s="453"/>
      <c r="M13" s="453"/>
      <c r="N13" s="453"/>
      <c r="O13" s="456"/>
      <c r="P13" s="448"/>
      <c r="R13" s="444"/>
      <c r="S13" s="444"/>
      <c r="T13" s="444"/>
      <c r="U13" s="444"/>
      <c r="V13" s="448"/>
      <c r="W13" s="448"/>
    </row>
    <row r="14" spans="1:23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59">
        <v>1530.48</v>
      </c>
      <c r="I14" s="259">
        <v>1354.62</v>
      </c>
      <c r="J14" s="2"/>
      <c r="K14" s="453"/>
      <c r="L14" s="453"/>
      <c r="M14" s="453"/>
      <c r="N14" s="453"/>
      <c r="O14" s="456"/>
      <c r="P14" s="448"/>
      <c r="R14" s="444"/>
      <c r="S14" s="444"/>
      <c r="T14" s="444"/>
      <c r="U14" s="444"/>
      <c r="V14" s="448"/>
      <c r="W14" s="448"/>
    </row>
    <row r="15" spans="1:23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59">
        <v>2827.14</v>
      </c>
      <c r="I15" s="259">
        <v>2384.5300000000002</v>
      </c>
      <c r="J15" s="2"/>
      <c r="K15" s="453"/>
      <c r="L15" s="453"/>
      <c r="M15" s="453"/>
      <c r="N15" s="453"/>
      <c r="O15" s="456"/>
      <c r="P15" s="448"/>
      <c r="R15" s="444"/>
      <c r="S15" s="444"/>
      <c r="T15" s="444"/>
      <c r="U15" s="444"/>
      <c r="V15" s="448"/>
      <c r="W15" s="448"/>
    </row>
    <row r="16" spans="1:23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59">
        <v>4017.52</v>
      </c>
      <c r="I16" s="259">
        <v>3330.03</v>
      </c>
      <c r="J16" s="2"/>
      <c r="K16" s="454"/>
      <c r="L16" s="454"/>
      <c r="M16" s="454"/>
      <c r="N16" s="454"/>
      <c r="O16" s="457"/>
      <c r="P16" s="447"/>
      <c r="R16" s="445"/>
      <c r="S16" s="445"/>
      <c r="T16" s="445"/>
      <c r="U16" s="445"/>
      <c r="V16" s="447"/>
      <c r="W16" s="447"/>
    </row>
    <row r="17" spans="1:25" x14ac:dyDescent="0.2">
      <c r="A17" s="4" t="s">
        <v>20</v>
      </c>
      <c r="B17" s="53">
        <f>SUM(B5:B16)</f>
        <v>0</v>
      </c>
      <c r="C17" s="5">
        <f t="shared" ref="C17:G17" si="3">SUM(C5:C16)</f>
        <v>0</v>
      </c>
      <c r="D17" s="53">
        <f t="shared" si="3"/>
        <v>0</v>
      </c>
      <c r="E17" s="5">
        <f t="shared" si="3"/>
        <v>0</v>
      </c>
      <c r="F17" s="5">
        <f t="shared" si="3"/>
        <v>0</v>
      </c>
      <c r="G17" s="5">
        <f t="shared" si="3"/>
        <v>0</v>
      </c>
      <c r="H17" s="253">
        <f>SUM(H5:H16)</f>
        <v>25575.26</v>
      </c>
      <c r="I17" s="253">
        <f>SUM(I5:I16)</f>
        <v>21871.360000000001</v>
      </c>
      <c r="J17" s="5"/>
      <c r="K17" s="258">
        <f>SUM(K5:K16)</f>
        <v>5294</v>
      </c>
      <c r="L17" s="258">
        <f t="shared" ref="L17:N17" si="4">SUM(L5:L16)</f>
        <v>0</v>
      </c>
      <c r="M17" s="258">
        <f t="shared" si="4"/>
        <v>5294</v>
      </c>
      <c r="N17" s="258">
        <f t="shared" si="4"/>
        <v>21372.89</v>
      </c>
      <c r="O17" s="258">
        <v>152</v>
      </c>
      <c r="P17" s="258">
        <f>SUM(P5:P15)</f>
        <v>5502.4</v>
      </c>
      <c r="R17" s="258">
        <f t="shared" ref="R17:U17" si="5">SUM(R5:R16)</f>
        <v>611.29999999999995</v>
      </c>
      <c r="S17" s="258">
        <f t="shared" si="5"/>
        <v>0</v>
      </c>
      <c r="T17" s="258">
        <f t="shared" si="5"/>
        <v>611.29999999999995</v>
      </c>
      <c r="U17" s="258">
        <f t="shared" si="5"/>
        <v>3926.5499999999993</v>
      </c>
      <c r="V17" s="258">
        <f>V5+V7</f>
        <v>15237.02</v>
      </c>
      <c r="W17" s="258">
        <f>W5+W7</f>
        <v>20292.79</v>
      </c>
    </row>
    <row r="18" spans="1:25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143" t="s">
        <v>64</v>
      </c>
      <c r="L18" s="29"/>
      <c r="M18" s="29"/>
      <c r="N18" s="32"/>
      <c r="O18" s="27" t="s">
        <v>67</v>
      </c>
      <c r="P18" s="32"/>
      <c r="R18" s="142" t="s">
        <v>67</v>
      </c>
      <c r="V18" s="142" t="s">
        <v>67</v>
      </c>
    </row>
    <row r="19" spans="1:2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 t="s">
        <v>136</v>
      </c>
      <c r="L19" s="1"/>
      <c r="M19" s="214" t="s">
        <v>158</v>
      </c>
      <c r="N19" s="1"/>
      <c r="O19" s="1" t="s">
        <v>65</v>
      </c>
      <c r="P19" s="1"/>
      <c r="R19" s="142" t="s">
        <v>136</v>
      </c>
      <c r="T19" s="213" t="s">
        <v>160</v>
      </c>
      <c r="V19" s="142" t="s">
        <v>161</v>
      </c>
    </row>
    <row r="20" spans="1:25" x14ac:dyDescent="0.2">
      <c r="K20" s="142" t="s">
        <v>137</v>
      </c>
      <c r="R20" s="215" t="s">
        <v>137</v>
      </c>
      <c r="V20" s="215" t="s">
        <v>162</v>
      </c>
    </row>
    <row r="21" spans="1:25" x14ac:dyDescent="0.2">
      <c r="U21" s="78">
        <f>U8+U26</f>
        <v>4021.62</v>
      </c>
    </row>
    <row r="23" spans="1:25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414" t="s">
        <v>135</v>
      </c>
      <c r="L23" s="356"/>
      <c r="M23" s="356"/>
      <c r="N23" s="357"/>
      <c r="O23" s="362" t="s">
        <v>138</v>
      </c>
      <c r="P23" s="362"/>
      <c r="R23" s="414" t="s">
        <v>159</v>
      </c>
      <c r="S23" s="356"/>
      <c r="T23" s="356"/>
      <c r="U23" s="357"/>
      <c r="V23" s="354"/>
      <c r="W23" s="350"/>
    </row>
    <row r="24" spans="1:25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/>
      <c r="K24" s="355" t="s">
        <v>14</v>
      </c>
      <c r="L24" s="356"/>
      <c r="M24" s="356"/>
      <c r="N24" s="357"/>
      <c r="O24" s="361" t="s">
        <v>62</v>
      </c>
      <c r="P24" s="361"/>
      <c r="R24" s="373" t="s">
        <v>14</v>
      </c>
      <c r="S24" s="373"/>
      <c r="T24" s="373"/>
      <c r="U24" s="373"/>
      <c r="V24" s="354" t="s">
        <v>29</v>
      </c>
      <c r="W24" s="350"/>
    </row>
    <row r="25" spans="1:25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152" t="s">
        <v>35</v>
      </c>
      <c r="L25" s="152" t="s">
        <v>36</v>
      </c>
      <c r="M25" s="152" t="s">
        <v>37</v>
      </c>
      <c r="N25" s="152" t="s">
        <v>17</v>
      </c>
      <c r="O25" s="153" t="s">
        <v>23</v>
      </c>
      <c r="P25" s="153" t="s">
        <v>17</v>
      </c>
      <c r="R25" s="152" t="s">
        <v>35</v>
      </c>
      <c r="S25" s="152" t="s">
        <v>36</v>
      </c>
      <c r="T25" s="152" t="s">
        <v>37</v>
      </c>
      <c r="U25" s="152" t="s">
        <v>17</v>
      </c>
      <c r="V25" s="155" t="s">
        <v>18</v>
      </c>
      <c r="W25" s="155" t="s">
        <v>17</v>
      </c>
    </row>
    <row r="26" spans="1:25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69">
        <v>4623.3599999999997</v>
      </c>
      <c r="I26" s="69">
        <v>3822.89</v>
      </c>
      <c r="J26" s="2"/>
      <c r="K26" s="449">
        <v>1029</v>
      </c>
      <c r="L26" s="449">
        <v>0</v>
      </c>
      <c r="M26" s="449">
        <f>K26+L26</f>
        <v>1029</v>
      </c>
      <c r="N26" s="449">
        <v>4467.75</v>
      </c>
      <c r="O26" s="425">
        <v>41</v>
      </c>
      <c r="P26" s="425">
        <v>1660.5</v>
      </c>
      <c r="R26" s="437">
        <v>178.2</v>
      </c>
      <c r="S26" s="437">
        <v>0</v>
      </c>
      <c r="T26" s="437">
        <f>R26+S26</f>
        <v>178.2</v>
      </c>
      <c r="U26" s="437">
        <f>177.27+120.86+162.98+5.04+106.8+131.2+315.86+13.74+88.21+16.26</f>
        <v>1138.22</v>
      </c>
      <c r="V26" s="440">
        <v>3135.37</v>
      </c>
      <c r="W26" s="440">
        <f>3045.33+715.49+134.48+7.56</f>
        <v>3902.8599999999997</v>
      </c>
    </row>
    <row r="27" spans="1:25" x14ac:dyDescent="0.2">
      <c r="A27" s="3" t="s">
        <v>1</v>
      </c>
      <c r="B27" s="46">
        <f t="shared" ref="B27:C37" si="6">D27+F27</f>
        <v>0</v>
      </c>
      <c r="C27" s="2">
        <f t="shared" si="6"/>
        <v>0</v>
      </c>
      <c r="D27" s="52"/>
      <c r="E27" s="16">
        <f t="shared" ref="E27:E37" si="7">D27*513.8</f>
        <v>0</v>
      </c>
      <c r="F27" s="2">
        <v>0</v>
      </c>
      <c r="G27" s="2">
        <f t="shared" ref="G27:G37" si="8">F27*336.1423</f>
        <v>0</v>
      </c>
      <c r="H27" s="69">
        <v>488.9</v>
      </c>
      <c r="I27" s="69">
        <v>413.54</v>
      </c>
      <c r="J27" s="2" t="s">
        <v>58</v>
      </c>
      <c r="K27" s="450"/>
      <c r="L27" s="450"/>
      <c r="M27" s="450"/>
      <c r="N27" s="450"/>
      <c r="O27" s="426"/>
      <c r="P27" s="426"/>
      <c r="R27" s="438"/>
      <c r="S27" s="438"/>
      <c r="T27" s="438"/>
      <c r="U27" s="438"/>
      <c r="V27" s="441"/>
      <c r="W27" s="441"/>
      <c r="Y27" s="78"/>
    </row>
    <row r="28" spans="1:25" x14ac:dyDescent="0.2">
      <c r="A28" s="3" t="s">
        <v>2</v>
      </c>
      <c r="B28" s="46">
        <f t="shared" si="6"/>
        <v>0</v>
      </c>
      <c r="C28" s="2">
        <f t="shared" si="6"/>
        <v>0</v>
      </c>
      <c r="D28" s="52"/>
      <c r="E28" s="16">
        <f t="shared" si="7"/>
        <v>0</v>
      </c>
      <c r="F28" s="2">
        <v>0</v>
      </c>
      <c r="G28" s="2">
        <f t="shared" si="8"/>
        <v>0</v>
      </c>
      <c r="H28" s="69"/>
      <c r="I28" s="69"/>
      <c r="J28" s="2"/>
      <c r="K28" s="451"/>
      <c r="L28" s="451"/>
      <c r="M28" s="451"/>
      <c r="N28" s="451"/>
      <c r="O28" s="426"/>
      <c r="P28" s="426"/>
      <c r="R28" s="439"/>
      <c r="S28" s="439"/>
      <c r="T28" s="439"/>
      <c r="U28" s="439"/>
      <c r="V28" s="441"/>
      <c r="W28" s="441"/>
      <c r="Y28" s="78"/>
    </row>
    <row r="29" spans="1:25" x14ac:dyDescent="0.2">
      <c r="A29" s="3" t="s">
        <v>3</v>
      </c>
      <c r="B29" s="46">
        <f t="shared" si="6"/>
        <v>0</v>
      </c>
      <c r="C29" s="2">
        <f t="shared" si="6"/>
        <v>0</v>
      </c>
      <c r="D29" s="52"/>
      <c r="E29" s="16">
        <f t="shared" si="7"/>
        <v>0</v>
      </c>
      <c r="F29" s="2">
        <v>0</v>
      </c>
      <c r="G29" s="2">
        <f t="shared" si="8"/>
        <v>0</v>
      </c>
      <c r="H29" s="69"/>
      <c r="I29" s="69"/>
      <c r="J29" s="2"/>
      <c r="K29" s="449">
        <v>2861</v>
      </c>
      <c r="L29" s="449">
        <v>0</v>
      </c>
      <c r="M29" s="449">
        <v>2861</v>
      </c>
      <c r="N29" s="449">
        <v>12473.09</v>
      </c>
      <c r="O29" s="427"/>
      <c r="P29" s="427"/>
      <c r="R29" s="437"/>
      <c r="S29" s="437"/>
      <c r="T29" s="437"/>
      <c r="U29" s="437"/>
      <c r="V29" s="442"/>
      <c r="W29" s="442"/>
    </row>
    <row r="30" spans="1:25" x14ac:dyDescent="0.2">
      <c r="A30" s="3" t="s">
        <v>4</v>
      </c>
      <c r="B30" s="46">
        <f t="shared" si="6"/>
        <v>0</v>
      </c>
      <c r="C30" s="2">
        <f t="shared" si="6"/>
        <v>0</v>
      </c>
      <c r="D30" s="52"/>
      <c r="E30" s="16">
        <f t="shared" si="7"/>
        <v>0</v>
      </c>
      <c r="F30" s="2">
        <v>0</v>
      </c>
      <c r="G30" s="2">
        <f t="shared" si="8"/>
        <v>0</v>
      </c>
      <c r="H30" s="69"/>
      <c r="I30" s="69"/>
      <c r="J30" s="2"/>
      <c r="K30" s="450"/>
      <c r="L30" s="450"/>
      <c r="M30" s="450"/>
      <c r="N30" s="450"/>
      <c r="O30" s="425">
        <v>89</v>
      </c>
      <c r="P30" s="425">
        <v>3604.5</v>
      </c>
      <c r="R30" s="438"/>
      <c r="S30" s="438"/>
      <c r="T30" s="438"/>
      <c r="U30" s="438"/>
      <c r="V30" s="216"/>
      <c r="W30" s="148"/>
    </row>
    <row r="31" spans="1:25" x14ac:dyDescent="0.2">
      <c r="A31" s="3" t="s">
        <v>5</v>
      </c>
      <c r="B31" s="46">
        <f t="shared" si="6"/>
        <v>0</v>
      </c>
      <c r="C31" s="2">
        <f t="shared" si="6"/>
        <v>0</v>
      </c>
      <c r="D31" s="52"/>
      <c r="E31" s="16">
        <f t="shared" si="7"/>
        <v>0</v>
      </c>
      <c r="F31" s="2">
        <v>0</v>
      </c>
      <c r="G31" s="2">
        <f t="shared" si="8"/>
        <v>0</v>
      </c>
      <c r="H31" s="69"/>
      <c r="I31" s="69"/>
      <c r="J31" s="2"/>
      <c r="K31" s="450"/>
      <c r="L31" s="450"/>
      <c r="M31" s="450"/>
      <c r="N31" s="450"/>
      <c r="O31" s="426"/>
      <c r="P31" s="426"/>
      <c r="R31" s="438"/>
      <c r="S31" s="438"/>
      <c r="T31" s="438"/>
      <c r="U31" s="438"/>
      <c r="V31" s="216"/>
      <c r="W31" s="148"/>
    </row>
    <row r="32" spans="1:25" x14ac:dyDescent="0.2">
      <c r="A32" s="3" t="s">
        <v>6</v>
      </c>
      <c r="B32" s="46">
        <f t="shared" si="6"/>
        <v>0</v>
      </c>
      <c r="C32" s="2">
        <f t="shared" si="6"/>
        <v>0</v>
      </c>
      <c r="D32" s="52"/>
      <c r="E32" s="16">
        <f t="shared" si="7"/>
        <v>0</v>
      </c>
      <c r="F32" s="2">
        <v>0</v>
      </c>
      <c r="G32" s="2">
        <f t="shared" si="8"/>
        <v>0</v>
      </c>
      <c r="H32" s="69"/>
      <c r="I32" s="69"/>
      <c r="J32" s="2"/>
      <c r="K32" s="450"/>
      <c r="L32" s="450"/>
      <c r="M32" s="450"/>
      <c r="N32" s="450"/>
      <c r="O32" s="426"/>
      <c r="P32" s="426"/>
      <c r="R32" s="438"/>
      <c r="S32" s="438"/>
      <c r="T32" s="438"/>
      <c r="U32" s="438"/>
      <c r="V32" s="216"/>
      <c r="W32" s="148"/>
    </row>
    <row r="33" spans="1:23" x14ac:dyDescent="0.2">
      <c r="A33" s="3" t="s">
        <v>7</v>
      </c>
      <c r="B33" s="46">
        <f t="shared" si="6"/>
        <v>0</v>
      </c>
      <c r="C33" s="2">
        <f t="shared" si="6"/>
        <v>0</v>
      </c>
      <c r="D33" s="52"/>
      <c r="E33" s="16">
        <f t="shared" si="7"/>
        <v>0</v>
      </c>
      <c r="F33" s="2">
        <v>0</v>
      </c>
      <c r="G33" s="2">
        <f t="shared" si="8"/>
        <v>0</v>
      </c>
      <c r="H33" s="69"/>
      <c r="I33" s="69"/>
      <c r="J33" s="2"/>
      <c r="K33" s="450"/>
      <c r="L33" s="450"/>
      <c r="M33" s="450"/>
      <c r="N33" s="450"/>
      <c r="O33" s="426"/>
      <c r="P33" s="426"/>
      <c r="R33" s="438"/>
      <c r="S33" s="438"/>
      <c r="T33" s="438"/>
      <c r="U33" s="438"/>
      <c r="V33" s="216"/>
      <c r="W33" s="148"/>
    </row>
    <row r="34" spans="1:23" x14ac:dyDescent="0.2">
      <c r="A34" s="3" t="s">
        <v>8</v>
      </c>
      <c r="B34" s="46">
        <f t="shared" si="6"/>
        <v>0</v>
      </c>
      <c r="C34" s="2">
        <f t="shared" si="6"/>
        <v>0</v>
      </c>
      <c r="D34" s="52"/>
      <c r="E34" s="16">
        <f t="shared" si="7"/>
        <v>0</v>
      </c>
      <c r="F34" s="2">
        <v>0</v>
      </c>
      <c r="G34" s="2">
        <f t="shared" si="8"/>
        <v>0</v>
      </c>
      <c r="H34" s="69"/>
      <c r="I34" s="69"/>
      <c r="J34" s="2"/>
      <c r="K34" s="450"/>
      <c r="L34" s="450"/>
      <c r="M34" s="450"/>
      <c r="N34" s="450"/>
      <c r="O34" s="426"/>
      <c r="P34" s="426"/>
      <c r="R34" s="438"/>
      <c r="S34" s="438"/>
      <c r="T34" s="438"/>
      <c r="U34" s="438"/>
      <c r="V34" s="216"/>
      <c r="W34" s="148"/>
    </row>
    <row r="35" spans="1:23" x14ac:dyDescent="0.2">
      <c r="A35" s="3" t="s">
        <v>9</v>
      </c>
      <c r="B35" s="46">
        <f t="shared" si="6"/>
        <v>0</v>
      </c>
      <c r="C35" s="2">
        <f t="shared" si="6"/>
        <v>0</v>
      </c>
      <c r="D35" s="52"/>
      <c r="E35" s="16">
        <f t="shared" si="7"/>
        <v>0</v>
      </c>
      <c r="F35" s="2">
        <v>0</v>
      </c>
      <c r="G35" s="2">
        <f t="shared" si="8"/>
        <v>0</v>
      </c>
      <c r="H35" s="69"/>
      <c r="I35" s="69"/>
      <c r="J35" s="2"/>
      <c r="K35" s="450"/>
      <c r="L35" s="450"/>
      <c r="M35" s="450"/>
      <c r="N35" s="450"/>
      <c r="O35" s="426"/>
      <c r="P35" s="426"/>
      <c r="R35" s="438"/>
      <c r="S35" s="438"/>
      <c r="T35" s="438"/>
      <c r="U35" s="438"/>
      <c r="V35" s="216"/>
      <c r="W35" s="148"/>
    </row>
    <row r="36" spans="1:23" x14ac:dyDescent="0.2">
      <c r="A36" s="3" t="s">
        <v>10</v>
      </c>
      <c r="B36" s="46">
        <f t="shared" si="6"/>
        <v>0</v>
      </c>
      <c r="C36" s="2">
        <f t="shared" si="6"/>
        <v>0</v>
      </c>
      <c r="D36" s="52"/>
      <c r="E36" s="16">
        <f t="shared" si="7"/>
        <v>0</v>
      </c>
      <c r="F36" s="2">
        <v>0</v>
      </c>
      <c r="G36" s="2">
        <f t="shared" si="8"/>
        <v>0</v>
      </c>
      <c r="H36" s="69"/>
      <c r="I36" s="69"/>
      <c r="J36" s="2"/>
      <c r="K36" s="450"/>
      <c r="L36" s="450"/>
      <c r="M36" s="450"/>
      <c r="N36" s="450"/>
      <c r="O36" s="426"/>
      <c r="P36" s="426"/>
      <c r="R36" s="438"/>
      <c r="S36" s="438"/>
      <c r="T36" s="438"/>
      <c r="U36" s="438"/>
      <c r="V36" s="216"/>
      <c r="W36" s="148"/>
    </row>
    <row r="37" spans="1:23" x14ac:dyDescent="0.2">
      <c r="A37" s="3" t="s">
        <v>11</v>
      </c>
      <c r="B37" s="46">
        <f t="shared" si="6"/>
        <v>0</v>
      </c>
      <c r="C37" s="2">
        <f t="shared" si="6"/>
        <v>0</v>
      </c>
      <c r="D37" s="52"/>
      <c r="E37" s="16">
        <f t="shared" si="7"/>
        <v>0</v>
      </c>
      <c r="F37" s="2">
        <v>0</v>
      </c>
      <c r="G37" s="2">
        <f t="shared" si="8"/>
        <v>0</v>
      </c>
      <c r="H37" s="69"/>
      <c r="I37" s="69"/>
      <c r="J37" s="2"/>
      <c r="K37" s="451"/>
      <c r="L37" s="451"/>
      <c r="M37" s="451"/>
      <c r="N37" s="451"/>
      <c r="O37" s="427"/>
      <c r="P37" s="427"/>
      <c r="R37" s="439"/>
      <c r="S37" s="439"/>
      <c r="T37" s="439"/>
      <c r="U37" s="439"/>
      <c r="V37" s="216"/>
      <c r="W37" s="148"/>
    </row>
    <row r="38" spans="1:23" x14ac:dyDescent="0.2">
      <c r="A38" s="4" t="s">
        <v>20</v>
      </c>
      <c r="B38" s="53">
        <f>SUM(B26:B37)</f>
        <v>0</v>
      </c>
      <c r="C38" s="5">
        <f t="shared" ref="C38:G38" si="9">SUM(C26:C37)</f>
        <v>0</v>
      </c>
      <c r="D38" s="53">
        <f t="shared" si="9"/>
        <v>0</v>
      </c>
      <c r="E38" s="5">
        <f t="shared" si="9"/>
        <v>0</v>
      </c>
      <c r="F38" s="5">
        <f t="shared" si="9"/>
        <v>0</v>
      </c>
      <c r="G38" s="5">
        <f t="shared" si="9"/>
        <v>0</v>
      </c>
      <c r="H38" s="62"/>
      <c r="I38" s="62"/>
      <c r="J38" s="5"/>
      <c r="K38" s="103">
        <f>SUM(K26:K37)</f>
        <v>3890</v>
      </c>
      <c r="L38" s="103">
        <f t="shared" ref="L38:N38" si="10">SUM(L26:L37)</f>
        <v>0</v>
      </c>
      <c r="M38" s="103">
        <f t="shared" si="10"/>
        <v>3890</v>
      </c>
      <c r="N38" s="103">
        <f t="shared" si="10"/>
        <v>16940.84</v>
      </c>
      <c r="O38" s="103">
        <f>SUM(O26:O36)</f>
        <v>130</v>
      </c>
      <c r="P38" s="103">
        <f>SUM(P26:P36)</f>
        <v>5265</v>
      </c>
      <c r="R38" s="103">
        <f t="shared" ref="R38:U38" si="11">SUM(R26:R37)</f>
        <v>178.2</v>
      </c>
      <c r="S38" s="103">
        <f t="shared" si="11"/>
        <v>0</v>
      </c>
      <c r="T38" s="103">
        <f t="shared" si="11"/>
        <v>178.2</v>
      </c>
      <c r="U38" s="103">
        <f t="shared" si="11"/>
        <v>1138.22</v>
      </c>
      <c r="V38" s="103"/>
      <c r="W38" s="103"/>
    </row>
    <row r="39" spans="1:23" x14ac:dyDescent="0.2">
      <c r="K39" s="143" t="s">
        <v>64</v>
      </c>
      <c r="O39" s="27" t="s">
        <v>67</v>
      </c>
      <c r="P39" s="32"/>
      <c r="R39" s="142" t="s">
        <v>67</v>
      </c>
      <c r="V39" s="142" t="s">
        <v>67</v>
      </c>
    </row>
    <row r="40" spans="1:23" x14ac:dyDescent="0.2">
      <c r="K40" s="1" t="s">
        <v>130</v>
      </c>
      <c r="O40" s="140" t="s">
        <v>68</v>
      </c>
      <c r="P40" s="1"/>
      <c r="R40" s="142"/>
      <c r="T40" s="213" t="s">
        <v>160</v>
      </c>
      <c r="V40" s="142" t="s">
        <v>163</v>
      </c>
    </row>
    <row r="41" spans="1:23" x14ac:dyDescent="0.2">
      <c r="K41" s="142" t="s">
        <v>129</v>
      </c>
      <c r="O41" s="139" t="s">
        <v>69</v>
      </c>
      <c r="R41" s="215"/>
      <c r="V41" s="215"/>
    </row>
    <row r="44" spans="1:23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63"/>
      <c r="K44" s="373"/>
      <c r="L44" s="373"/>
      <c r="M44" s="373"/>
      <c r="N44" s="373"/>
      <c r="O44" s="361"/>
      <c r="P44" s="361"/>
    </row>
    <row r="45" spans="1:23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152"/>
      <c r="L45" s="152"/>
      <c r="M45" s="152"/>
      <c r="N45" s="152"/>
      <c r="O45" s="153"/>
      <c r="P45" s="153"/>
    </row>
    <row r="46" spans="1:23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05"/>
      <c r="L46" s="105"/>
      <c r="M46" s="105"/>
      <c r="N46" s="105"/>
      <c r="O46" s="105"/>
      <c r="P46" s="105"/>
    </row>
    <row r="47" spans="1:23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05"/>
      <c r="L47" s="105"/>
      <c r="M47" s="105"/>
      <c r="N47" s="105"/>
      <c r="O47" s="105"/>
      <c r="P47" s="105"/>
    </row>
    <row r="48" spans="1:23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05"/>
      <c r="L48" s="105"/>
      <c r="M48" s="105"/>
      <c r="N48" s="105"/>
      <c r="O48" s="105"/>
      <c r="P48" s="105"/>
    </row>
    <row r="49" spans="1:16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05"/>
      <c r="L49" s="105"/>
      <c r="M49" s="105"/>
      <c r="N49" s="105"/>
      <c r="O49" s="105"/>
      <c r="P49" s="105"/>
    </row>
    <row r="50" spans="1:16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05"/>
      <c r="L50" s="105"/>
      <c r="M50" s="105"/>
      <c r="N50" s="105"/>
      <c r="O50" s="105"/>
      <c r="P50" s="105"/>
    </row>
    <row r="51" spans="1:16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05"/>
      <c r="L51" s="105"/>
      <c r="M51" s="105"/>
      <c r="N51" s="105"/>
      <c r="O51" s="105"/>
      <c r="P51" s="105"/>
    </row>
    <row r="52" spans="1:16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05"/>
      <c r="L52" s="105"/>
      <c r="M52" s="105"/>
      <c r="N52" s="105"/>
      <c r="O52" s="105"/>
      <c r="P52" s="105"/>
    </row>
    <row r="53" spans="1:16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05"/>
      <c r="L53" s="105"/>
      <c r="M53" s="105"/>
      <c r="N53" s="105"/>
      <c r="O53" s="105"/>
      <c r="P53" s="105"/>
    </row>
    <row r="54" spans="1:16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05"/>
      <c r="L54" s="105"/>
      <c r="M54" s="105"/>
      <c r="N54" s="105"/>
      <c r="O54" s="105"/>
      <c r="P54" s="105"/>
    </row>
    <row r="55" spans="1:16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05"/>
      <c r="L55" s="105"/>
      <c r="M55" s="105"/>
      <c r="N55" s="105"/>
      <c r="O55" s="105"/>
      <c r="P55" s="105"/>
    </row>
    <row r="56" spans="1:16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05"/>
      <c r="L56" s="105"/>
      <c r="M56" s="105"/>
      <c r="N56" s="105"/>
      <c r="O56" s="105"/>
      <c r="P56" s="105"/>
    </row>
    <row r="57" spans="1:16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05"/>
      <c r="L57" s="105"/>
      <c r="M57" s="105"/>
      <c r="N57" s="105"/>
      <c r="O57" s="105"/>
      <c r="P57" s="105"/>
    </row>
    <row r="58" spans="1:16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103"/>
      <c r="L58" s="103"/>
      <c r="M58" s="103"/>
      <c r="N58" s="103"/>
      <c r="O58" s="103"/>
      <c r="P58" s="103"/>
    </row>
  </sheetData>
  <mergeCells count="85">
    <mergeCell ref="O44:P44"/>
    <mergeCell ref="A44:A45"/>
    <mergeCell ref="B44:C44"/>
    <mergeCell ref="D44:E44"/>
    <mergeCell ref="F44:G44"/>
    <mergeCell ref="H44:I44"/>
    <mergeCell ref="K44:N44"/>
    <mergeCell ref="O23:P23"/>
    <mergeCell ref="B24:C24"/>
    <mergeCell ref="D24:E24"/>
    <mergeCell ref="F24:G24"/>
    <mergeCell ref="H24:I24"/>
    <mergeCell ref="K24:N24"/>
    <mergeCell ref="O24:P24"/>
    <mergeCell ref="K23:N23"/>
    <mergeCell ref="A23:A25"/>
    <mergeCell ref="B23:C23"/>
    <mergeCell ref="D23:E23"/>
    <mergeCell ref="F23:G23"/>
    <mergeCell ref="H23:I23"/>
    <mergeCell ref="O2:P2"/>
    <mergeCell ref="B3:C3"/>
    <mergeCell ref="D3:E3"/>
    <mergeCell ref="F3:G3"/>
    <mergeCell ref="H3:I3"/>
    <mergeCell ref="K3:N3"/>
    <mergeCell ref="O3:P3"/>
    <mergeCell ref="K2:N2"/>
    <mergeCell ref="A2:A4"/>
    <mergeCell ref="B2:C2"/>
    <mergeCell ref="D2:E2"/>
    <mergeCell ref="F2:G2"/>
    <mergeCell ref="H2:I2"/>
    <mergeCell ref="P5:P16"/>
    <mergeCell ref="K9:K16"/>
    <mergeCell ref="L9:L16"/>
    <mergeCell ref="M9:M16"/>
    <mergeCell ref="N9:N16"/>
    <mergeCell ref="K5:K8"/>
    <mergeCell ref="L5:L8"/>
    <mergeCell ref="M5:M8"/>
    <mergeCell ref="N5:N8"/>
    <mergeCell ref="O5:O16"/>
    <mergeCell ref="P26:P29"/>
    <mergeCell ref="K29:K37"/>
    <mergeCell ref="L29:L37"/>
    <mergeCell ref="M29:M37"/>
    <mergeCell ref="N29:N37"/>
    <mergeCell ref="O30:O37"/>
    <mergeCell ref="P30:P37"/>
    <mergeCell ref="K26:K28"/>
    <mergeCell ref="L26:L28"/>
    <mergeCell ref="M26:M28"/>
    <mergeCell ref="N26:N28"/>
    <mergeCell ref="O26:O29"/>
    <mergeCell ref="R2:U2"/>
    <mergeCell ref="V2:W2"/>
    <mergeCell ref="R3:U3"/>
    <mergeCell ref="V3:W3"/>
    <mergeCell ref="R5:R7"/>
    <mergeCell ref="S5:S7"/>
    <mergeCell ref="T5:T7"/>
    <mergeCell ref="U5:U7"/>
    <mergeCell ref="V5:V6"/>
    <mergeCell ref="W5:W6"/>
    <mergeCell ref="V7:V16"/>
    <mergeCell ref="W7:W16"/>
    <mergeCell ref="R8:R16"/>
    <mergeCell ref="S8:S16"/>
    <mergeCell ref="T8:T16"/>
    <mergeCell ref="U8:U16"/>
    <mergeCell ref="R23:U23"/>
    <mergeCell ref="V23:W23"/>
    <mergeCell ref="R24:U24"/>
    <mergeCell ref="V24:W24"/>
    <mergeCell ref="R26:R28"/>
    <mergeCell ref="S26:S28"/>
    <mergeCell ref="T26:T28"/>
    <mergeCell ref="U26:U28"/>
    <mergeCell ref="V26:V29"/>
    <mergeCell ref="W26:W29"/>
    <mergeCell ref="R29:R37"/>
    <mergeCell ref="S29:S37"/>
    <mergeCell ref="T29:T37"/>
    <mergeCell ref="U29:U37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1868B-535E-4277-8222-46E58DFE9F1A}">
  <sheetPr>
    <tabColor theme="0"/>
  </sheetPr>
  <dimension ref="A1:P58"/>
  <sheetViews>
    <sheetView topLeftCell="A28" workbookViewId="0">
      <selection activeCell="A44" sqref="A44:P58"/>
    </sheetView>
  </sheetViews>
  <sheetFormatPr defaultRowHeight="12.75" x14ac:dyDescent="0.2"/>
  <cols>
    <col min="1" max="1" width="12.7109375" customWidth="1"/>
    <col min="2" max="7" width="11.7109375" hidden="1" customWidth="1"/>
    <col min="8" max="14" width="11.7109375" customWidth="1"/>
    <col min="15" max="16" width="13.5703125" customWidth="1"/>
  </cols>
  <sheetData>
    <row r="1" spans="1:16" ht="15" x14ac:dyDescent="0.2">
      <c r="A1" s="21" t="s">
        <v>216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206" t="s">
        <v>33</v>
      </c>
    </row>
    <row r="2" spans="1:16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351" t="s">
        <v>139</v>
      </c>
      <c r="L2" s="352"/>
      <c r="M2" s="352"/>
      <c r="N2" s="353"/>
      <c r="O2" s="362" t="s">
        <v>140</v>
      </c>
      <c r="P2" s="362"/>
    </row>
    <row r="3" spans="1:16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52</v>
      </c>
      <c r="K3" s="355" t="s">
        <v>14</v>
      </c>
      <c r="L3" s="356"/>
      <c r="M3" s="356"/>
      <c r="N3" s="357"/>
      <c r="O3" s="361" t="s">
        <v>62</v>
      </c>
      <c r="P3" s="361"/>
    </row>
    <row r="4" spans="1:16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152" t="s">
        <v>35</v>
      </c>
      <c r="L4" s="152" t="s">
        <v>36</v>
      </c>
      <c r="M4" s="152" t="s">
        <v>37</v>
      </c>
      <c r="N4" s="152" t="s">
        <v>17</v>
      </c>
      <c r="O4" s="153" t="s">
        <v>23</v>
      </c>
      <c r="P4" s="153" t="s">
        <v>24</v>
      </c>
    </row>
    <row r="5" spans="1:16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59">
        <f>3178.6+1212.52</f>
        <v>4391.12</v>
      </c>
      <c r="I5" s="259">
        <f>3169.01+1243.6</f>
        <v>4412.6100000000006</v>
      </c>
      <c r="J5" s="2" t="s">
        <v>56</v>
      </c>
      <c r="K5" s="449">
        <v>902</v>
      </c>
      <c r="L5" s="449">
        <v>0</v>
      </c>
      <c r="M5" s="449">
        <v>902</v>
      </c>
      <c r="N5" s="449">
        <v>3752.23</v>
      </c>
      <c r="O5" s="458">
        <v>28</v>
      </c>
      <c r="P5" s="422">
        <v>1013.6</v>
      </c>
    </row>
    <row r="6" spans="1:16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59">
        <v>2599.8200000000002</v>
      </c>
      <c r="I6" s="259">
        <v>2739.74</v>
      </c>
      <c r="J6" s="2"/>
      <c r="K6" s="450"/>
      <c r="L6" s="450"/>
      <c r="M6" s="450"/>
      <c r="N6" s="450"/>
      <c r="O6" s="459"/>
      <c r="P6" s="423"/>
    </row>
    <row r="7" spans="1:16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59">
        <v>2119.1799999999998</v>
      </c>
      <c r="I7" s="259">
        <v>2277.2399999999998</v>
      </c>
      <c r="J7" s="2"/>
      <c r="K7" s="451"/>
      <c r="L7" s="451"/>
      <c r="M7" s="451"/>
      <c r="N7" s="451"/>
      <c r="O7" s="459"/>
      <c r="P7" s="423"/>
    </row>
    <row r="8" spans="1:16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59">
        <v>1441.92</v>
      </c>
      <c r="I8" s="259">
        <v>1625.52</v>
      </c>
      <c r="J8" s="2"/>
      <c r="K8" s="449">
        <v>3171</v>
      </c>
      <c r="L8" s="449">
        <v>0</v>
      </c>
      <c r="M8" s="449">
        <v>3171</v>
      </c>
      <c r="N8" s="449">
        <v>9783.9500000000007</v>
      </c>
      <c r="O8" s="459"/>
      <c r="P8" s="423"/>
    </row>
    <row r="9" spans="1:16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59">
        <v>1321.76</v>
      </c>
      <c r="I9" s="259">
        <v>1509.89</v>
      </c>
      <c r="J9" s="2"/>
      <c r="K9" s="450"/>
      <c r="L9" s="450"/>
      <c r="M9" s="450"/>
      <c r="N9" s="450"/>
      <c r="O9" s="459"/>
      <c r="P9" s="423"/>
    </row>
    <row r="10" spans="1:16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59">
        <v>600.79999999999995</v>
      </c>
      <c r="I10" s="259">
        <v>816.12</v>
      </c>
      <c r="J10" s="2"/>
      <c r="K10" s="450"/>
      <c r="L10" s="450"/>
      <c r="M10" s="450"/>
      <c r="N10" s="450"/>
      <c r="O10" s="459"/>
      <c r="P10" s="423"/>
    </row>
    <row r="11" spans="1:16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59">
        <v>677.26</v>
      </c>
      <c r="I11" s="259">
        <v>889.7</v>
      </c>
      <c r="J11" s="2"/>
      <c r="K11" s="450"/>
      <c r="L11" s="450"/>
      <c r="M11" s="450"/>
      <c r="N11" s="450"/>
      <c r="O11" s="459"/>
      <c r="P11" s="423"/>
    </row>
    <row r="12" spans="1:16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59">
        <v>666</v>
      </c>
      <c r="I12" s="259">
        <v>879.2</v>
      </c>
      <c r="J12" s="2"/>
      <c r="K12" s="450"/>
      <c r="L12" s="450"/>
      <c r="M12" s="450"/>
      <c r="N12" s="450"/>
      <c r="O12" s="459"/>
      <c r="P12" s="423"/>
    </row>
    <row r="13" spans="1:16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59">
        <v>939</v>
      </c>
      <c r="I13" s="259">
        <v>1141.99</v>
      </c>
      <c r="J13" s="2"/>
      <c r="K13" s="450"/>
      <c r="L13" s="450"/>
      <c r="M13" s="450"/>
      <c r="N13" s="450"/>
      <c r="O13" s="459"/>
      <c r="P13" s="423"/>
    </row>
    <row r="14" spans="1:16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59">
        <v>1398</v>
      </c>
      <c r="I14" s="259">
        <v>1583.48</v>
      </c>
      <c r="J14" s="2"/>
      <c r="K14" s="450"/>
      <c r="L14" s="450"/>
      <c r="M14" s="450"/>
      <c r="N14" s="450"/>
      <c r="O14" s="459"/>
      <c r="P14" s="423"/>
    </row>
    <row r="15" spans="1:16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59">
        <v>2032</v>
      </c>
      <c r="I15" s="259">
        <v>2193.15</v>
      </c>
      <c r="J15" s="2"/>
      <c r="K15" s="450"/>
      <c r="L15" s="450"/>
      <c r="M15" s="450"/>
      <c r="N15" s="450"/>
      <c r="O15" s="459"/>
      <c r="P15" s="423"/>
    </row>
    <row r="16" spans="1:16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59">
        <v>2687</v>
      </c>
      <c r="I16" s="259">
        <v>2956.72</v>
      </c>
      <c r="J16" s="2"/>
      <c r="K16" s="451"/>
      <c r="L16" s="451"/>
      <c r="M16" s="451"/>
      <c r="N16" s="451"/>
      <c r="O16" s="460"/>
      <c r="P16" s="424"/>
    </row>
    <row r="17" spans="1:16" x14ac:dyDescent="0.2">
      <c r="A17" s="4" t="s">
        <v>20</v>
      </c>
      <c r="B17" s="53">
        <f>SUM(B5:B16)</f>
        <v>0</v>
      </c>
      <c r="C17" s="5">
        <f t="shared" ref="C17:G17" si="3">SUM(C5:C16)</f>
        <v>0</v>
      </c>
      <c r="D17" s="53">
        <f t="shared" si="3"/>
        <v>0</v>
      </c>
      <c r="E17" s="5">
        <f t="shared" si="3"/>
        <v>0</v>
      </c>
      <c r="F17" s="5">
        <f t="shared" si="3"/>
        <v>0</v>
      </c>
      <c r="G17" s="5">
        <f t="shared" si="3"/>
        <v>0</v>
      </c>
      <c r="H17" s="253">
        <f>SUM(H5:H16)</f>
        <v>20873.86</v>
      </c>
      <c r="I17" s="253">
        <f>SUM(I5:I16)</f>
        <v>23025.360000000004</v>
      </c>
      <c r="J17" s="5"/>
      <c r="K17" s="103">
        <f>SUM(K5:K16)</f>
        <v>4073</v>
      </c>
      <c r="L17" s="103">
        <v>0</v>
      </c>
      <c r="M17" s="26">
        <f t="shared" ref="M17" si="4">K17+L17</f>
        <v>4073</v>
      </c>
      <c r="N17" s="103">
        <f>N5+N8</f>
        <v>13536.18</v>
      </c>
      <c r="O17" s="103">
        <v>28</v>
      </c>
      <c r="P17" s="103">
        <f>SUM(P5:P15)</f>
        <v>1013.6</v>
      </c>
    </row>
    <row r="18" spans="1:16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143" t="s">
        <v>67</v>
      </c>
      <c r="L18" s="29"/>
      <c r="M18" s="29"/>
      <c r="N18" s="32"/>
      <c r="O18" s="27" t="s">
        <v>64</v>
      </c>
      <c r="P18" s="32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 t="s">
        <v>104</v>
      </c>
      <c r="L19" s="1"/>
      <c r="M19" s="1"/>
      <c r="N19" s="1"/>
      <c r="O19" s="1" t="s">
        <v>65</v>
      </c>
      <c r="P19" s="1"/>
    </row>
    <row r="20" spans="1:16" x14ac:dyDescent="0.2">
      <c r="K20" s="207" t="s">
        <v>141</v>
      </c>
    </row>
    <row r="23" spans="1:16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355"/>
      <c r="L23" s="356"/>
      <c r="M23" s="356"/>
      <c r="N23" s="357"/>
      <c r="O23" s="362" t="s">
        <v>140</v>
      </c>
      <c r="P23" s="362"/>
    </row>
    <row r="24" spans="1:16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 t="s">
        <v>52</v>
      </c>
      <c r="K24" s="355" t="s">
        <v>14</v>
      </c>
      <c r="L24" s="356"/>
      <c r="M24" s="356"/>
      <c r="N24" s="357"/>
      <c r="O24" s="361" t="s">
        <v>62</v>
      </c>
      <c r="P24" s="361"/>
    </row>
    <row r="25" spans="1:16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152" t="s">
        <v>35</v>
      </c>
      <c r="L25" s="152" t="s">
        <v>36</v>
      </c>
      <c r="M25" s="152" t="s">
        <v>37</v>
      </c>
      <c r="N25" s="152" t="s">
        <v>17</v>
      </c>
      <c r="O25" s="153" t="s">
        <v>23</v>
      </c>
      <c r="P25" s="153" t="s">
        <v>17</v>
      </c>
    </row>
    <row r="26" spans="1:16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69">
        <v>2185</v>
      </c>
      <c r="I26" s="69">
        <v>2421.04</v>
      </c>
      <c r="J26" s="2" t="s">
        <v>59</v>
      </c>
      <c r="K26" s="449">
        <v>1298</v>
      </c>
      <c r="L26" s="449">
        <v>0</v>
      </c>
      <c r="M26" s="449">
        <f>K26+L26</f>
        <v>1298</v>
      </c>
      <c r="N26" s="449">
        <v>5534.57</v>
      </c>
      <c r="O26" s="425">
        <v>6</v>
      </c>
      <c r="P26" s="425">
        <v>243</v>
      </c>
    </row>
    <row r="27" spans="1:16" x14ac:dyDescent="0.2">
      <c r="A27" s="3" t="s">
        <v>1</v>
      </c>
      <c r="B27" s="46">
        <f t="shared" ref="B27:C37" si="5">D27+F27</f>
        <v>0</v>
      </c>
      <c r="C27" s="2">
        <f t="shared" si="5"/>
        <v>0</v>
      </c>
      <c r="D27" s="52"/>
      <c r="E27" s="16">
        <f t="shared" ref="E27:E37" si="6">D27*513.8</f>
        <v>0</v>
      </c>
      <c r="F27" s="2">
        <v>0</v>
      </c>
      <c r="G27" s="2">
        <f t="shared" ref="G27:G37" si="7">F27*336.1423</f>
        <v>0</v>
      </c>
      <c r="H27" s="69"/>
      <c r="I27" s="69"/>
      <c r="J27" s="2"/>
      <c r="K27" s="450"/>
      <c r="L27" s="450"/>
      <c r="M27" s="450"/>
      <c r="N27" s="450"/>
      <c r="O27" s="426"/>
      <c r="P27" s="426"/>
    </row>
    <row r="28" spans="1:16" x14ac:dyDescent="0.2">
      <c r="A28" s="3" t="s">
        <v>2</v>
      </c>
      <c r="B28" s="46">
        <f t="shared" si="5"/>
        <v>0</v>
      </c>
      <c r="C28" s="2">
        <f t="shared" si="5"/>
        <v>0</v>
      </c>
      <c r="D28" s="52"/>
      <c r="E28" s="16">
        <f t="shared" si="6"/>
        <v>0</v>
      </c>
      <c r="F28" s="2">
        <v>0</v>
      </c>
      <c r="G28" s="2">
        <f t="shared" si="7"/>
        <v>0</v>
      </c>
      <c r="H28" s="69"/>
      <c r="I28" s="69"/>
      <c r="J28" s="2"/>
      <c r="K28" s="451"/>
      <c r="L28" s="451"/>
      <c r="M28" s="451"/>
      <c r="N28" s="451"/>
      <c r="O28" s="426"/>
      <c r="P28" s="426"/>
    </row>
    <row r="29" spans="1:16" x14ac:dyDescent="0.2">
      <c r="A29" s="3" t="s">
        <v>3</v>
      </c>
      <c r="B29" s="46">
        <f t="shared" si="5"/>
        <v>0</v>
      </c>
      <c r="C29" s="2">
        <f t="shared" si="5"/>
        <v>0</v>
      </c>
      <c r="D29" s="52"/>
      <c r="E29" s="16">
        <f t="shared" si="6"/>
        <v>0</v>
      </c>
      <c r="F29" s="2">
        <v>0</v>
      </c>
      <c r="G29" s="2">
        <f t="shared" si="7"/>
        <v>0</v>
      </c>
      <c r="H29" s="69"/>
      <c r="I29" s="69"/>
      <c r="J29" s="2"/>
      <c r="K29" s="449">
        <v>3171</v>
      </c>
      <c r="L29" s="449">
        <v>0</v>
      </c>
      <c r="M29" s="449">
        <v>3171</v>
      </c>
      <c r="N29" s="449">
        <v>13702.64</v>
      </c>
      <c r="O29" s="427"/>
      <c r="P29" s="427"/>
    </row>
    <row r="30" spans="1:16" x14ac:dyDescent="0.2">
      <c r="A30" s="3" t="s">
        <v>4</v>
      </c>
      <c r="B30" s="46">
        <f t="shared" si="5"/>
        <v>0</v>
      </c>
      <c r="C30" s="2">
        <f t="shared" si="5"/>
        <v>0</v>
      </c>
      <c r="D30" s="52"/>
      <c r="E30" s="16">
        <f t="shared" si="6"/>
        <v>0</v>
      </c>
      <c r="F30" s="2">
        <v>0</v>
      </c>
      <c r="G30" s="2">
        <f t="shared" si="7"/>
        <v>0</v>
      </c>
      <c r="H30" s="69"/>
      <c r="I30" s="69"/>
      <c r="J30" s="2"/>
      <c r="K30" s="450"/>
      <c r="L30" s="450"/>
      <c r="M30" s="450"/>
      <c r="N30" s="450"/>
      <c r="O30" s="425">
        <v>9</v>
      </c>
      <c r="P30" s="425">
        <v>364.5</v>
      </c>
    </row>
    <row r="31" spans="1:16" x14ac:dyDescent="0.2">
      <c r="A31" s="3" t="s">
        <v>5</v>
      </c>
      <c r="B31" s="46">
        <f t="shared" si="5"/>
        <v>0</v>
      </c>
      <c r="C31" s="2">
        <f t="shared" si="5"/>
        <v>0</v>
      </c>
      <c r="D31" s="52"/>
      <c r="E31" s="16">
        <f t="shared" si="6"/>
        <v>0</v>
      </c>
      <c r="F31" s="2">
        <v>0</v>
      </c>
      <c r="G31" s="2">
        <f t="shared" si="7"/>
        <v>0</v>
      </c>
      <c r="H31" s="69"/>
      <c r="I31" s="69"/>
      <c r="J31" s="2"/>
      <c r="K31" s="450"/>
      <c r="L31" s="450"/>
      <c r="M31" s="450"/>
      <c r="N31" s="450"/>
      <c r="O31" s="426"/>
      <c r="P31" s="426"/>
    </row>
    <row r="32" spans="1:16" x14ac:dyDescent="0.2">
      <c r="A32" s="3" t="s">
        <v>6</v>
      </c>
      <c r="B32" s="46">
        <f t="shared" si="5"/>
        <v>0</v>
      </c>
      <c r="C32" s="2">
        <f t="shared" si="5"/>
        <v>0</v>
      </c>
      <c r="D32" s="52"/>
      <c r="E32" s="16">
        <f t="shared" si="6"/>
        <v>0</v>
      </c>
      <c r="F32" s="2">
        <v>0</v>
      </c>
      <c r="G32" s="2">
        <f t="shared" si="7"/>
        <v>0</v>
      </c>
      <c r="H32" s="69"/>
      <c r="I32" s="69"/>
      <c r="J32" s="2"/>
      <c r="K32" s="450"/>
      <c r="L32" s="450"/>
      <c r="M32" s="450"/>
      <c r="N32" s="450"/>
      <c r="O32" s="426"/>
      <c r="P32" s="426"/>
    </row>
    <row r="33" spans="1:16" x14ac:dyDescent="0.2">
      <c r="A33" s="3" t="s">
        <v>7</v>
      </c>
      <c r="B33" s="46">
        <f t="shared" si="5"/>
        <v>0</v>
      </c>
      <c r="C33" s="2">
        <f t="shared" si="5"/>
        <v>0</v>
      </c>
      <c r="D33" s="52"/>
      <c r="E33" s="16">
        <f t="shared" si="6"/>
        <v>0</v>
      </c>
      <c r="F33" s="2">
        <v>0</v>
      </c>
      <c r="G33" s="2">
        <f t="shared" si="7"/>
        <v>0</v>
      </c>
      <c r="H33" s="69"/>
      <c r="I33" s="69"/>
      <c r="J33" s="2"/>
      <c r="K33" s="450"/>
      <c r="L33" s="450"/>
      <c r="M33" s="450"/>
      <c r="N33" s="450"/>
      <c r="O33" s="426"/>
      <c r="P33" s="426"/>
    </row>
    <row r="34" spans="1:16" x14ac:dyDescent="0.2">
      <c r="A34" s="3" t="s">
        <v>8</v>
      </c>
      <c r="B34" s="46">
        <f t="shared" si="5"/>
        <v>0</v>
      </c>
      <c r="C34" s="2">
        <f t="shared" si="5"/>
        <v>0</v>
      </c>
      <c r="D34" s="52"/>
      <c r="E34" s="16">
        <f t="shared" si="6"/>
        <v>0</v>
      </c>
      <c r="F34" s="2">
        <v>0</v>
      </c>
      <c r="G34" s="2">
        <f t="shared" si="7"/>
        <v>0</v>
      </c>
      <c r="H34" s="69"/>
      <c r="I34" s="69"/>
      <c r="J34" s="2"/>
      <c r="K34" s="450"/>
      <c r="L34" s="450"/>
      <c r="M34" s="450"/>
      <c r="N34" s="450"/>
      <c r="O34" s="426"/>
      <c r="P34" s="426"/>
    </row>
    <row r="35" spans="1:16" x14ac:dyDescent="0.2">
      <c r="A35" s="3" t="s">
        <v>9</v>
      </c>
      <c r="B35" s="46">
        <f t="shared" si="5"/>
        <v>0</v>
      </c>
      <c r="C35" s="2">
        <f t="shared" si="5"/>
        <v>0</v>
      </c>
      <c r="D35" s="52"/>
      <c r="E35" s="16">
        <f t="shared" si="6"/>
        <v>0</v>
      </c>
      <c r="F35" s="2">
        <v>0</v>
      </c>
      <c r="G35" s="2">
        <f t="shared" si="7"/>
        <v>0</v>
      </c>
      <c r="H35" s="69"/>
      <c r="I35" s="69"/>
      <c r="J35" s="2"/>
      <c r="K35" s="450"/>
      <c r="L35" s="450"/>
      <c r="M35" s="450"/>
      <c r="N35" s="450"/>
      <c r="O35" s="426"/>
      <c r="P35" s="426"/>
    </row>
    <row r="36" spans="1:16" x14ac:dyDescent="0.2">
      <c r="A36" s="3" t="s">
        <v>10</v>
      </c>
      <c r="B36" s="46">
        <f t="shared" si="5"/>
        <v>0</v>
      </c>
      <c r="C36" s="2">
        <f t="shared" si="5"/>
        <v>0</v>
      </c>
      <c r="D36" s="52"/>
      <c r="E36" s="16">
        <f t="shared" si="6"/>
        <v>0</v>
      </c>
      <c r="F36" s="2">
        <v>0</v>
      </c>
      <c r="G36" s="2">
        <f t="shared" si="7"/>
        <v>0</v>
      </c>
      <c r="H36" s="69"/>
      <c r="I36" s="69"/>
      <c r="J36" s="2"/>
      <c r="K36" s="450"/>
      <c r="L36" s="450"/>
      <c r="M36" s="450"/>
      <c r="N36" s="450"/>
      <c r="O36" s="426"/>
      <c r="P36" s="426"/>
    </row>
    <row r="37" spans="1:16" x14ac:dyDescent="0.2">
      <c r="A37" s="3" t="s">
        <v>11</v>
      </c>
      <c r="B37" s="46">
        <f t="shared" si="5"/>
        <v>0</v>
      </c>
      <c r="C37" s="2">
        <f t="shared" si="5"/>
        <v>0</v>
      </c>
      <c r="D37" s="52"/>
      <c r="E37" s="16">
        <f t="shared" si="6"/>
        <v>0</v>
      </c>
      <c r="F37" s="2">
        <v>0</v>
      </c>
      <c r="G37" s="2">
        <f t="shared" si="7"/>
        <v>0</v>
      </c>
      <c r="H37" s="69"/>
      <c r="I37" s="69"/>
      <c r="J37" s="2"/>
      <c r="K37" s="451"/>
      <c r="L37" s="451"/>
      <c r="M37" s="451"/>
      <c r="N37" s="451"/>
      <c r="O37" s="427"/>
      <c r="P37" s="427"/>
    </row>
    <row r="38" spans="1:16" x14ac:dyDescent="0.2">
      <c r="A38" s="4" t="s">
        <v>20</v>
      </c>
      <c r="B38" s="53">
        <f>SUM(B26:B37)</f>
        <v>0</v>
      </c>
      <c r="C38" s="5">
        <f t="shared" ref="C38:G38" si="8">SUM(C26:C37)</f>
        <v>0</v>
      </c>
      <c r="D38" s="53">
        <f t="shared" si="8"/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62"/>
      <c r="I38" s="62"/>
      <c r="J38" s="5"/>
      <c r="K38" s="103">
        <f>SUM(K26:K37)</f>
        <v>4469</v>
      </c>
      <c r="L38" s="103">
        <f t="shared" ref="L38:N38" si="9">SUM(L26:L37)</f>
        <v>0</v>
      </c>
      <c r="M38" s="103">
        <f t="shared" si="9"/>
        <v>4469</v>
      </c>
      <c r="N38" s="103">
        <f t="shared" si="9"/>
        <v>19237.21</v>
      </c>
      <c r="O38" s="103">
        <f>SUM(O26:O36)</f>
        <v>15</v>
      </c>
      <c r="P38" s="103">
        <f>SUM(P26:P36)</f>
        <v>607.5</v>
      </c>
    </row>
    <row r="39" spans="1:16" x14ac:dyDescent="0.2">
      <c r="K39" s="142" t="s">
        <v>67</v>
      </c>
      <c r="O39" s="27" t="s">
        <v>67</v>
      </c>
      <c r="P39" s="32"/>
    </row>
    <row r="40" spans="1:16" x14ac:dyDescent="0.2">
      <c r="K40" s="142" t="s">
        <v>130</v>
      </c>
      <c r="O40" s="140" t="s">
        <v>68</v>
      </c>
      <c r="P40" s="1"/>
    </row>
    <row r="41" spans="1:16" x14ac:dyDescent="0.2">
      <c r="K41" s="142" t="s">
        <v>129</v>
      </c>
      <c r="O41" s="139" t="s">
        <v>69</v>
      </c>
    </row>
    <row r="44" spans="1:16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63"/>
      <c r="K44" s="373"/>
      <c r="L44" s="373"/>
      <c r="M44" s="373"/>
      <c r="N44" s="373"/>
      <c r="O44" s="361"/>
      <c r="P44" s="361"/>
    </row>
    <row r="45" spans="1:16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152"/>
      <c r="L45" s="152"/>
      <c r="M45" s="152"/>
      <c r="N45" s="152"/>
      <c r="O45" s="153"/>
      <c r="P45" s="153"/>
    </row>
    <row r="46" spans="1:16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05"/>
      <c r="L46" s="105"/>
      <c r="M46" s="105"/>
      <c r="N46" s="105"/>
      <c r="O46" s="105"/>
      <c r="P46" s="105"/>
    </row>
    <row r="47" spans="1:16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05"/>
      <c r="L47" s="105"/>
      <c r="M47" s="105"/>
      <c r="N47" s="105"/>
      <c r="O47" s="105"/>
      <c r="P47" s="105"/>
    </row>
    <row r="48" spans="1:16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05"/>
      <c r="L48" s="105"/>
      <c r="M48" s="105"/>
      <c r="N48" s="105"/>
      <c r="O48" s="105"/>
      <c r="P48" s="105"/>
    </row>
    <row r="49" spans="1:16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05"/>
      <c r="L49" s="105"/>
      <c r="M49" s="105"/>
      <c r="N49" s="105"/>
      <c r="O49" s="105"/>
      <c r="P49" s="105"/>
    </row>
    <row r="50" spans="1:16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05"/>
      <c r="L50" s="105"/>
      <c r="M50" s="105"/>
      <c r="N50" s="105"/>
      <c r="O50" s="105"/>
      <c r="P50" s="105"/>
    </row>
    <row r="51" spans="1:16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05"/>
      <c r="L51" s="105"/>
      <c r="M51" s="105"/>
      <c r="N51" s="105"/>
      <c r="O51" s="105"/>
      <c r="P51" s="105"/>
    </row>
    <row r="52" spans="1:16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05"/>
      <c r="L52" s="105"/>
      <c r="M52" s="105"/>
      <c r="N52" s="105"/>
      <c r="O52" s="105"/>
      <c r="P52" s="105"/>
    </row>
    <row r="53" spans="1:16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05"/>
      <c r="L53" s="105"/>
      <c r="M53" s="105"/>
      <c r="N53" s="105"/>
      <c r="O53" s="105"/>
      <c r="P53" s="105"/>
    </row>
    <row r="54" spans="1:16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05"/>
      <c r="L54" s="105"/>
      <c r="M54" s="105"/>
      <c r="N54" s="105"/>
      <c r="O54" s="105"/>
      <c r="P54" s="105"/>
    </row>
    <row r="55" spans="1:16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05"/>
      <c r="L55" s="105"/>
      <c r="M55" s="105"/>
      <c r="N55" s="105"/>
      <c r="O55" s="105"/>
      <c r="P55" s="105"/>
    </row>
    <row r="56" spans="1:16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05"/>
      <c r="L56" s="105"/>
      <c r="M56" s="105"/>
      <c r="N56" s="105"/>
      <c r="O56" s="105"/>
      <c r="P56" s="105"/>
    </row>
    <row r="57" spans="1:16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05"/>
      <c r="L57" s="105"/>
      <c r="M57" s="105"/>
      <c r="N57" s="105"/>
      <c r="O57" s="105"/>
      <c r="P57" s="105"/>
    </row>
    <row r="58" spans="1:16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103"/>
      <c r="L58" s="103"/>
      <c r="M58" s="103"/>
      <c r="N58" s="103"/>
      <c r="O58" s="103"/>
      <c r="P58" s="103"/>
    </row>
  </sheetData>
  <mergeCells count="55">
    <mergeCell ref="B3:C3"/>
    <mergeCell ref="D3:E3"/>
    <mergeCell ref="F3:G3"/>
    <mergeCell ref="H3:I3"/>
    <mergeCell ref="A2:A4"/>
    <mergeCell ref="B2:C2"/>
    <mergeCell ref="D2:E2"/>
    <mergeCell ref="F2:G2"/>
    <mergeCell ref="H2:I2"/>
    <mergeCell ref="O24:P2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K24:N24"/>
    <mergeCell ref="K23:N23"/>
    <mergeCell ref="O23:P23"/>
    <mergeCell ref="A44:A45"/>
    <mergeCell ref="B44:C44"/>
    <mergeCell ref="D44:E44"/>
    <mergeCell ref="F44:G44"/>
    <mergeCell ref="H44:I44"/>
    <mergeCell ref="K2:N2"/>
    <mergeCell ref="O2:P2"/>
    <mergeCell ref="K3:N3"/>
    <mergeCell ref="O3:P3"/>
    <mergeCell ref="K5:K7"/>
    <mergeCell ref="L5:L7"/>
    <mergeCell ref="M5:M7"/>
    <mergeCell ref="N5:N7"/>
    <mergeCell ref="O5:O16"/>
    <mergeCell ref="P5:P16"/>
    <mergeCell ref="K8:K16"/>
    <mergeCell ref="L8:L16"/>
    <mergeCell ref="M8:M16"/>
    <mergeCell ref="N8:N16"/>
    <mergeCell ref="O30:O37"/>
    <mergeCell ref="P30:P37"/>
    <mergeCell ref="K44:N44"/>
    <mergeCell ref="O44:P44"/>
    <mergeCell ref="K26:K28"/>
    <mergeCell ref="L26:L28"/>
    <mergeCell ref="M26:M28"/>
    <mergeCell ref="N26:N28"/>
    <mergeCell ref="O26:O29"/>
    <mergeCell ref="P26:P29"/>
    <mergeCell ref="K29:K37"/>
    <mergeCell ref="L29:L37"/>
    <mergeCell ref="M29:M37"/>
    <mergeCell ref="N29:N37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C4D3D-3FF4-4F01-8125-7B93FED19E8A}">
  <sheetPr>
    <tabColor theme="0"/>
  </sheetPr>
  <dimension ref="A1:AN58"/>
  <sheetViews>
    <sheetView topLeftCell="A28" workbookViewId="0">
      <selection activeCell="A44" sqref="A44:P59"/>
    </sheetView>
  </sheetViews>
  <sheetFormatPr defaultRowHeight="12.75" x14ac:dyDescent="0.2"/>
  <cols>
    <col min="1" max="1" width="12.7109375" customWidth="1"/>
    <col min="2" max="16" width="11.7109375" customWidth="1"/>
    <col min="25" max="25" width="9.85546875" customWidth="1"/>
  </cols>
  <sheetData>
    <row r="1" spans="1:40" ht="15" x14ac:dyDescent="0.2">
      <c r="A1" s="21" t="s">
        <v>170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57" t="s">
        <v>33</v>
      </c>
    </row>
    <row r="2" spans="1:40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467" t="s">
        <v>184</v>
      </c>
      <c r="K2" s="468"/>
      <c r="L2" s="468"/>
      <c r="M2" s="469"/>
      <c r="N2" s="233"/>
      <c r="O2" s="470" t="s">
        <v>204</v>
      </c>
      <c r="P2" s="470"/>
      <c r="Q2" s="362"/>
      <c r="R2" s="362"/>
      <c r="S2" s="231"/>
      <c r="U2" s="467" t="s">
        <v>186</v>
      </c>
      <c r="V2" s="468"/>
      <c r="W2" s="468"/>
      <c r="X2" s="469"/>
      <c r="Y2" s="233"/>
      <c r="Z2" s="467" t="s">
        <v>188</v>
      </c>
      <c r="AA2" s="468"/>
      <c r="AB2" s="468"/>
      <c r="AC2" s="469"/>
      <c r="AD2" s="233"/>
      <c r="AE2" s="467" t="s">
        <v>189</v>
      </c>
      <c r="AF2" s="468"/>
      <c r="AG2" s="468"/>
      <c r="AH2" s="469"/>
      <c r="AI2" s="233"/>
      <c r="AJ2" s="467" t="s">
        <v>193</v>
      </c>
      <c r="AK2" s="468"/>
      <c r="AL2" s="468"/>
      <c r="AM2" s="469"/>
      <c r="AN2" s="233"/>
    </row>
    <row r="3" spans="1:40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304" t="s">
        <v>14</v>
      </c>
      <c r="K3" s="305"/>
      <c r="L3" s="305"/>
      <c r="M3" s="306"/>
      <c r="N3" s="233"/>
      <c r="O3" s="322" t="s">
        <v>62</v>
      </c>
      <c r="P3" s="322"/>
      <c r="Q3" s="361" t="s">
        <v>63</v>
      </c>
      <c r="R3" s="361"/>
      <c r="S3" s="231"/>
      <c r="U3" s="304" t="s">
        <v>14</v>
      </c>
      <c r="V3" s="305"/>
      <c r="W3" s="305"/>
      <c r="X3" s="306"/>
      <c r="Y3" s="233"/>
      <c r="Z3" s="304" t="s">
        <v>14</v>
      </c>
      <c r="AA3" s="305"/>
      <c r="AB3" s="305"/>
      <c r="AC3" s="306"/>
      <c r="AD3" s="233"/>
      <c r="AE3" s="304" t="s">
        <v>14</v>
      </c>
      <c r="AF3" s="305"/>
      <c r="AG3" s="305"/>
      <c r="AH3" s="306"/>
      <c r="AI3" s="233"/>
      <c r="AJ3" s="304" t="s">
        <v>14</v>
      </c>
      <c r="AK3" s="305"/>
      <c r="AL3" s="305"/>
      <c r="AM3" s="306"/>
      <c r="AN3" s="233"/>
    </row>
    <row r="4" spans="1:40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8" t="s">
        <v>35</v>
      </c>
      <c r="K4" s="8" t="s">
        <v>36</v>
      </c>
      <c r="L4" s="8" t="s">
        <v>37</v>
      </c>
      <c r="M4" s="8" t="s">
        <v>17</v>
      </c>
      <c r="N4" s="8" t="s">
        <v>187</v>
      </c>
      <c r="O4" s="9" t="s">
        <v>23</v>
      </c>
      <c r="P4" s="9" t="s">
        <v>24</v>
      </c>
      <c r="Q4" s="153" t="s">
        <v>23</v>
      </c>
      <c r="R4" s="153" t="s">
        <v>24</v>
      </c>
      <c r="S4" s="9" t="s">
        <v>182</v>
      </c>
      <c r="U4" s="8" t="s">
        <v>35</v>
      </c>
      <c r="V4" s="8" t="s">
        <v>36</v>
      </c>
      <c r="W4" s="8" t="s">
        <v>37</v>
      </c>
      <c r="X4" s="8" t="s">
        <v>17</v>
      </c>
      <c r="Y4" s="8" t="s">
        <v>187</v>
      </c>
      <c r="Z4" s="8" t="s">
        <v>35</v>
      </c>
      <c r="AA4" s="8" t="s">
        <v>36</v>
      </c>
      <c r="AB4" s="8" t="s">
        <v>37</v>
      </c>
      <c r="AC4" s="8" t="s">
        <v>17</v>
      </c>
      <c r="AD4" s="8" t="s">
        <v>187</v>
      </c>
      <c r="AE4" s="8" t="s">
        <v>35</v>
      </c>
      <c r="AF4" s="8" t="s">
        <v>36</v>
      </c>
      <c r="AG4" s="8" t="s">
        <v>37</v>
      </c>
      <c r="AH4" s="8" t="s">
        <v>17</v>
      </c>
      <c r="AI4" s="8" t="s">
        <v>187</v>
      </c>
      <c r="AJ4" s="8" t="s">
        <v>35</v>
      </c>
      <c r="AK4" s="8" t="s">
        <v>36</v>
      </c>
      <c r="AL4" s="8" t="s">
        <v>37</v>
      </c>
      <c r="AM4" s="8" t="s">
        <v>17</v>
      </c>
      <c r="AN4" s="8" t="s">
        <v>187</v>
      </c>
    </row>
    <row r="5" spans="1:40" x14ac:dyDescent="0.2">
      <c r="A5" s="3" t="s">
        <v>0</v>
      </c>
      <c r="B5" s="46"/>
      <c r="C5" s="2"/>
      <c r="D5" s="51"/>
      <c r="E5" s="16">
        <f>D5*513.8</f>
        <v>0</v>
      </c>
      <c r="F5" s="2">
        <v>0</v>
      </c>
      <c r="G5" s="2">
        <f>F5*336.1423</f>
        <v>0</v>
      </c>
      <c r="H5" s="2">
        <v>15900</v>
      </c>
      <c r="I5" s="2">
        <v>11718.55</v>
      </c>
      <c r="J5" s="311">
        <v>166</v>
      </c>
      <c r="K5" s="311"/>
      <c r="L5" s="311">
        <f>J5+K5</f>
        <v>166</v>
      </c>
      <c r="M5" s="311">
        <f>150.23+371.91+82.17+358.07+12.65+20.34+4.7</f>
        <v>1000.0699999999999</v>
      </c>
      <c r="N5" s="464" t="s">
        <v>195</v>
      </c>
      <c r="O5" s="323">
        <v>111</v>
      </c>
      <c r="P5" s="323">
        <f>O5*36.2</f>
        <v>4018.2000000000003</v>
      </c>
      <c r="Q5" s="323">
        <f>O5</f>
        <v>111</v>
      </c>
      <c r="R5" s="323">
        <f>Q5*31.74</f>
        <v>3523.14</v>
      </c>
      <c r="S5" s="461" t="s">
        <v>205</v>
      </c>
      <c r="U5" s="311">
        <v>197</v>
      </c>
      <c r="V5" s="311"/>
      <c r="W5" s="311">
        <f>U5+V5</f>
        <v>197</v>
      </c>
      <c r="X5" s="311">
        <f>178.29+441.37+97.52+457.86+15.01+20.34+5.58</f>
        <v>1215.9699999999998</v>
      </c>
      <c r="Y5" s="464" t="s">
        <v>195</v>
      </c>
      <c r="Z5" s="311">
        <v>741</v>
      </c>
      <c r="AA5" s="311"/>
      <c r="AB5" s="311">
        <f>Z5+AA5</f>
        <v>741</v>
      </c>
      <c r="AC5" s="311">
        <f>670.61+1660.17+366.8+358.07+56.46+20.34+20.97</f>
        <v>3153.4200000000005</v>
      </c>
      <c r="AD5" s="464" t="s">
        <v>195</v>
      </c>
      <c r="AE5" s="311">
        <v>130</v>
      </c>
      <c r="AF5" s="311">
        <v>4679</v>
      </c>
      <c r="AG5" s="311">
        <f>AE5+AF5</f>
        <v>4809</v>
      </c>
      <c r="AH5" s="311">
        <f>208.13+4683.68+132.1+243.6+459.57+2380.46+2600.41+136.09+(4.809*76.19)+20.12</f>
        <v>11230.557710000001</v>
      </c>
      <c r="AI5" s="464" t="s">
        <v>195</v>
      </c>
      <c r="AJ5" s="26">
        <v>1152</v>
      </c>
      <c r="AK5" s="26"/>
      <c r="AL5" s="26">
        <f>AJ5+AK5</f>
        <v>1152</v>
      </c>
      <c r="AM5" s="26">
        <v>4932.1000000000004</v>
      </c>
      <c r="AN5" s="26"/>
    </row>
    <row r="6" spans="1:40" x14ac:dyDescent="0.2">
      <c r="A6" s="3" t="s">
        <v>1</v>
      </c>
      <c r="B6" s="46"/>
      <c r="C6" s="2"/>
      <c r="D6" s="52"/>
      <c r="E6" s="16">
        <f t="shared" ref="E6:E16" si="0">D6*513.8</f>
        <v>0</v>
      </c>
      <c r="F6" s="2">
        <v>0</v>
      </c>
      <c r="G6" s="2">
        <f t="shared" ref="G6:G16" si="1">F6*336.1423</f>
        <v>0</v>
      </c>
      <c r="H6" s="2">
        <v>18355</v>
      </c>
      <c r="I6" s="2">
        <v>13763.22</v>
      </c>
      <c r="J6" s="312"/>
      <c r="K6" s="312"/>
      <c r="L6" s="312">
        <f t="shared" ref="L6:L16" si="2">J6+K6</f>
        <v>0</v>
      </c>
      <c r="M6" s="312"/>
      <c r="N6" s="465"/>
      <c r="O6" s="324"/>
      <c r="P6" s="324">
        <f t="shared" ref="P6:P16" si="3">O6*58.26</f>
        <v>0</v>
      </c>
      <c r="Q6" s="324"/>
      <c r="R6" s="324"/>
      <c r="S6" s="462"/>
      <c r="U6" s="312"/>
      <c r="V6" s="312"/>
      <c r="W6" s="312">
        <f t="shared" ref="W6:W7" si="4">U6+V6</f>
        <v>0</v>
      </c>
      <c r="X6" s="312"/>
      <c r="Y6" s="465"/>
      <c r="Z6" s="312"/>
      <c r="AA6" s="312"/>
      <c r="AB6" s="312">
        <f t="shared" ref="AB6:AB7" si="5">Z6+AA6</f>
        <v>0</v>
      </c>
      <c r="AC6" s="312"/>
      <c r="AD6" s="465"/>
      <c r="AE6" s="312"/>
      <c r="AF6" s="312"/>
      <c r="AG6" s="312">
        <f t="shared" ref="AG6:AG7" si="6">AE6+AF6</f>
        <v>0</v>
      </c>
      <c r="AH6" s="312"/>
      <c r="AI6" s="465"/>
      <c r="AJ6" s="26">
        <v>1186</v>
      </c>
      <c r="AK6" s="26"/>
      <c r="AL6" s="26">
        <f t="shared" ref="AL6:AL16" si="7">AJ6+AK6</f>
        <v>1186</v>
      </c>
      <c r="AM6" s="26">
        <v>5059.42</v>
      </c>
      <c r="AN6" s="26"/>
    </row>
    <row r="7" spans="1:40" x14ac:dyDescent="0.2">
      <c r="A7" s="3" t="s">
        <v>2</v>
      </c>
      <c r="B7" s="46"/>
      <c r="C7" s="2"/>
      <c r="D7" s="52"/>
      <c r="E7" s="16">
        <f t="shared" si="0"/>
        <v>0</v>
      </c>
      <c r="F7" s="2">
        <v>0</v>
      </c>
      <c r="G7" s="2">
        <f t="shared" si="1"/>
        <v>0</v>
      </c>
      <c r="H7" s="2">
        <v>14051</v>
      </c>
      <c r="I7" s="2">
        <v>10751.72</v>
      </c>
      <c r="J7" s="345"/>
      <c r="K7" s="345"/>
      <c r="L7" s="345">
        <f t="shared" si="2"/>
        <v>0</v>
      </c>
      <c r="M7" s="345"/>
      <c r="N7" s="466"/>
      <c r="O7" s="324"/>
      <c r="P7" s="324">
        <f t="shared" si="3"/>
        <v>0</v>
      </c>
      <c r="Q7" s="324"/>
      <c r="R7" s="324"/>
      <c r="S7" s="462"/>
      <c r="U7" s="345"/>
      <c r="V7" s="345"/>
      <c r="W7" s="345">
        <f t="shared" si="4"/>
        <v>0</v>
      </c>
      <c r="X7" s="345"/>
      <c r="Y7" s="466"/>
      <c r="Z7" s="345"/>
      <c r="AA7" s="345"/>
      <c r="AB7" s="345">
        <f t="shared" si="5"/>
        <v>0</v>
      </c>
      <c r="AC7" s="345"/>
      <c r="AD7" s="466"/>
      <c r="AE7" s="345"/>
      <c r="AF7" s="345"/>
      <c r="AG7" s="345">
        <f t="shared" si="6"/>
        <v>0</v>
      </c>
      <c r="AH7" s="345"/>
      <c r="AI7" s="466"/>
      <c r="AJ7" s="26">
        <v>791</v>
      </c>
      <c r="AK7" s="26"/>
      <c r="AL7" s="26">
        <v>791</v>
      </c>
      <c r="AM7" s="26">
        <v>3580.2</v>
      </c>
      <c r="AN7" s="26"/>
    </row>
    <row r="8" spans="1:40" ht="12.75" customHeight="1" x14ac:dyDescent="0.2">
      <c r="A8" s="3" t="s">
        <v>3</v>
      </c>
      <c r="B8" s="46"/>
      <c r="C8" s="2"/>
      <c r="D8" s="52"/>
      <c r="E8" s="16">
        <f t="shared" si="0"/>
        <v>0</v>
      </c>
      <c r="F8" s="2">
        <v>0</v>
      </c>
      <c r="G8" s="2">
        <f t="shared" si="1"/>
        <v>0</v>
      </c>
      <c r="H8" s="2">
        <v>8078</v>
      </c>
      <c r="I8" s="2">
        <v>6572.79</v>
      </c>
      <c r="J8" s="323">
        <v>462</v>
      </c>
      <c r="K8" s="323">
        <v>0</v>
      </c>
      <c r="L8" s="323">
        <f>J8+K8</f>
        <v>462</v>
      </c>
      <c r="M8" s="323">
        <v>2898.91</v>
      </c>
      <c r="N8" s="461" t="s">
        <v>185</v>
      </c>
      <c r="O8" s="324"/>
      <c r="P8" s="324">
        <f t="shared" si="3"/>
        <v>0</v>
      </c>
      <c r="Q8" s="324"/>
      <c r="R8" s="324"/>
      <c r="S8" s="462"/>
      <c r="U8" s="323">
        <v>548</v>
      </c>
      <c r="V8" s="323"/>
      <c r="W8" s="323">
        <f t="shared" ref="W8:W16" si="8">U8+V8</f>
        <v>548</v>
      </c>
      <c r="X8" s="323">
        <v>3529.19</v>
      </c>
      <c r="Y8" s="461" t="s">
        <v>185</v>
      </c>
      <c r="Z8" s="323">
        <v>2063</v>
      </c>
      <c r="AA8" s="323"/>
      <c r="AB8" s="323">
        <f t="shared" ref="AB8:AB16" si="9">Z8+AA8</f>
        <v>2063</v>
      </c>
      <c r="AC8" s="323">
        <v>8894.57</v>
      </c>
      <c r="AD8" s="461" t="s">
        <v>185</v>
      </c>
      <c r="AE8" s="323">
        <v>361</v>
      </c>
      <c r="AF8" s="323">
        <v>9579</v>
      </c>
      <c r="AG8" s="323">
        <f t="shared" ref="AG8:AG16" si="10">AE8+AF8</f>
        <v>9940</v>
      </c>
      <c r="AH8" s="323">
        <v>26245.08</v>
      </c>
      <c r="AI8" s="461" t="s">
        <v>185</v>
      </c>
      <c r="AJ8" s="26">
        <v>917</v>
      </c>
      <c r="AK8" s="26"/>
      <c r="AL8" s="26">
        <f t="shared" si="7"/>
        <v>917</v>
      </c>
      <c r="AM8" s="26">
        <v>4052.05</v>
      </c>
      <c r="AN8" s="26"/>
    </row>
    <row r="9" spans="1:40" x14ac:dyDescent="0.2">
      <c r="A9" s="3" t="s">
        <v>4</v>
      </c>
      <c r="B9" s="46"/>
      <c r="C9" s="2"/>
      <c r="D9" s="52"/>
      <c r="E9" s="16">
        <f t="shared" si="0"/>
        <v>0</v>
      </c>
      <c r="F9" s="2">
        <v>0</v>
      </c>
      <c r="G9" s="2">
        <f t="shared" si="1"/>
        <v>0</v>
      </c>
      <c r="H9" s="2">
        <v>6877</v>
      </c>
      <c r="I9" s="2">
        <v>5732.54</v>
      </c>
      <c r="J9" s="324"/>
      <c r="K9" s="324"/>
      <c r="L9" s="324">
        <f t="shared" si="2"/>
        <v>0</v>
      </c>
      <c r="M9" s="324"/>
      <c r="N9" s="462"/>
      <c r="O9" s="324"/>
      <c r="P9" s="324">
        <f t="shared" si="3"/>
        <v>0</v>
      </c>
      <c r="Q9" s="324"/>
      <c r="R9" s="324"/>
      <c r="S9" s="462"/>
      <c r="U9" s="324"/>
      <c r="V9" s="324"/>
      <c r="W9" s="324">
        <f t="shared" si="8"/>
        <v>0</v>
      </c>
      <c r="X9" s="324"/>
      <c r="Y9" s="462"/>
      <c r="Z9" s="324"/>
      <c r="AA9" s="324"/>
      <c r="AB9" s="324">
        <f t="shared" si="9"/>
        <v>0</v>
      </c>
      <c r="AC9" s="324"/>
      <c r="AD9" s="462"/>
      <c r="AE9" s="324"/>
      <c r="AF9" s="324"/>
      <c r="AG9" s="324">
        <f t="shared" si="10"/>
        <v>0</v>
      </c>
      <c r="AH9" s="324"/>
      <c r="AI9" s="462"/>
      <c r="AJ9" s="26">
        <v>1288</v>
      </c>
      <c r="AK9" s="26"/>
      <c r="AL9" s="26">
        <f t="shared" si="7"/>
        <v>1288</v>
      </c>
      <c r="AM9" s="26">
        <v>5441.41</v>
      </c>
      <c r="AN9" s="26"/>
    </row>
    <row r="10" spans="1:40" ht="12.75" customHeight="1" x14ac:dyDescent="0.2">
      <c r="A10" s="3" t="s">
        <v>5</v>
      </c>
      <c r="B10" s="46"/>
      <c r="C10" s="2"/>
      <c r="D10" s="52"/>
      <c r="E10" s="16">
        <f t="shared" si="0"/>
        <v>0</v>
      </c>
      <c r="F10" s="2">
        <v>0</v>
      </c>
      <c r="G10" s="2">
        <f t="shared" si="1"/>
        <v>0</v>
      </c>
      <c r="H10" s="2">
        <v>1445</v>
      </c>
      <c r="I10" s="2">
        <v>1932.84</v>
      </c>
      <c r="J10" s="324"/>
      <c r="K10" s="324"/>
      <c r="L10" s="324">
        <f t="shared" si="2"/>
        <v>0</v>
      </c>
      <c r="M10" s="324"/>
      <c r="N10" s="462"/>
      <c r="O10" s="325"/>
      <c r="P10" s="325">
        <f t="shared" si="3"/>
        <v>0</v>
      </c>
      <c r="Q10" s="325"/>
      <c r="R10" s="325"/>
      <c r="S10" s="463"/>
      <c r="U10" s="324"/>
      <c r="V10" s="324"/>
      <c r="W10" s="324">
        <f t="shared" si="8"/>
        <v>0</v>
      </c>
      <c r="X10" s="324"/>
      <c r="Y10" s="462"/>
      <c r="Z10" s="324"/>
      <c r="AA10" s="324"/>
      <c r="AB10" s="324">
        <f t="shared" si="9"/>
        <v>0</v>
      </c>
      <c r="AC10" s="324"/>
      <c r="AD10" s="462"/>
      <c r="AE10" s="324"/>
      <c r="AF10" s="324"/>
      <c r="AG10" s="324">
        <f t="shared" si="10"/>
        <v>0</v>
      </c>
      <c r="AH10" s="324"/>
      <c r="AI10" s="462"/>
      <c r="AJ10" s="26">
        <v>891</v>
      </c>
      <c r="AK10" s="26"/>
      <c r="AL10" s="26">
        <f t="shared" si="7"/>
        <v>891</v>
      </c>
      <c r="AM10" s="26">
        <v>3954.69</v>
      </c>
      <c r="AN10" s="26"/>
    </row>
    <row r="11" spans="1:40" x14ac:dyDescent="0.2">
      <c r="A11" s="3" t="s">
        <v>6</v>
      </c>
      <c r="B11" s="46"/>
      <c r="C11" s="2"/>
      <c r="D11" s="52"/>
      <c r="E11" s="16">
        <f t="shared" si="0"/>
        <v>0</v>
      </c>
      <c r="F11" s="2">
        <v>0</v>
      </c>
      <c r="G11" s="2">
        <f t="shared" si="1"/>
        <v>0</v>
      </c>
      <c r="H11" s="2">
        <v>1754</v>
      </c>
      <c r="I11" s="2">
        <v>2148.4899999999998</v>
      </c>
      <c r="J11" s="324"/>
      <c r="K11" s="324"/>
      <c r="L11" s="324">
        <f t="shared" si="2"/>
        <v>0</v>
      </c>
      <c r="M11" s="324"/>
      <c r="N11" s="462"/>
      <c r="O11" s="323">
        <v>81</v>
      </c>
      <c r="P11" s="323">
        <f>O11*36.2</f>
        <v>2932.2000000000003</v>
      </c>
      <c r="Q11" s="323">
        <f>O11</f>
        <v>81</v>
      </c>
      <c r="R11" s="323">
        <f>Q11*31.74</f>
        <v>2570.94</v>
      </c>
      <c r="S11" s="461" t="s">
        <v>206</v>
      </c>
      <c r="U11" s="324"/>
      <c r="V11" s="324"/>
      <c r="W11" s="324">
        <f t="shared" si="8"/>
        <v>0</v>
      </c>
      <c r="X11" s="324"/>
      <c r="Y11" s="462"/>
      <c r="Z11" s="324"/>
      <c r="AA11" s="324"/>
      <c r="AB11" s="324">
        <f t="shared" si="9"/>
        <v>0</v>
      </c>
      <c r="AC11" s="324"/>
      <c r="AD11" s="462"/>
      <c r="AE11" s="324"/>
      <c r="AF11" s="324"/>
      <c r="AG11" s="324">
        <f t="shared" si="10"/>
        <v>0</v>
      </c>
      <c r="AH11" s="324"/>
      <c r="AI11" s="462"/>
      <c r="AJ11" s="26">
        <v>545</v>
      </c>
      <c r="AK11" s="26"/>
      <c r="AL11" s="26">
        <f t="shared" si="7"/>
        <v>545</v>
      </c>
      <c r="AM11" s="26">
        <v>2658.93</v>
      </c>
      <c r="AN11" s="26"/>
    </row>
    <row r="12" spans="1:40" x14ac:dyDescent="0.2">
      <c r="A12" s="3" t="s">
        <v>7</v>
      </c>
      <c r="B12" s="46"/>
      <c r="C12" s="2"/>
      <c r="D12" s="52"/>
      <c r="E12" s="16">
        <f t="shared" si="0"/>
        <v>0</v>
      </c>
      <c r="F12" s="2">
        <v>0</v>
      </c>
      <c r="G12" s="2">
        <f t="shared" si="1"/>
        <v>0</v>
      </c>
      <c r="H12" s="2">
        <v>1647</v>
      </c>
      <c r="I12" s="2">
        <v>2074.12</v>
      </c>
      <c r="J12" s="324"/>
      <c r="K12" s="324"/>
      <c r="L12" s="324">
        <f t="shared" si="2"/>
        <v>0</v>
      </c>
      <c r="M12" s="324"/>
      <c r="N12" s="462"/>
      <c r="O12" s="324"/>
      <c r="P12" s="324">
        <f t="shared" si="3"/>
        <v>0</v>
      </c>
      <c r="Q12" s="324"/>
      <c r="R12" s="324"/>
      <c r="S12" s="462"/>
      <c r="U12" s="324"/>
      <c r="V12" s="324"/>
      <c r="W12" s="324">
        <f t="shared" si="8"/>
        <v>0</v>
      </c>
      <c r="X12" s="324"/>
      <c r="Y12" s="462"/>
      <c r="Z12" s="324"/>
      <c r="AA12" s="324"/>
      <c r="AB12" s="324">
        <f t="shared" si="9"/>
        <v>0</v>
      </c>
      <c r="AC12" s="324"/>
      <c r="AD12" s="462"/>
      <c r="AE12" s="324"/>
      <c r="AF12" s="324"/>
      <c r="AG12" s="324">
        <f t="shared" si="10"/>
        <v>0</v>
      </c>
      <c r="AH12" s="324"/>
      <c r="AI12" s="462"/>
      <c r="AJ12" s="26">
        <v>621</v>
      </c>
      <c r="AK12" s="26"/>
      <c r="AL12" s="26">
        <f t="shared" si="7"/>
        <v>621</v>
      </c>
      <c r="AM12" s="26">
        <v>2943.54</v>
      </c>
      <c r="AN12" s="26"/>
    </row>
    <row r="13" spans="1:40" x14ac:dyDescent="0.2">
      <c r="A13" s="3" t="s">
        <v>8</v>
      </c>
      <c r="B13" s="46"/>
      <c r="C13" s="2"/>
      <c r="D13" s="52"/>
      <c r="E13" s="16">
        <f t="shared" si="0"/>
        <v>0</v>
      </c>
      <c r="F13" s="2">
        <v>0</v>
      </c>
      <c r="G13" s="2">
        <f t="shared" si="1"/>
        <v>0</v>
      </c>
      <c r="H13" s="2">
        <v>3614</v>
      </c>
      <c r="I13" s="2">
        <v>3449.75</v>
      </c>
      <c r="J13" s="324"/>
      <c r="K13" s="324"/>
      <c r="L13" s="324">
        <f t="shared" si="2"/>
        <v>0</v>
      </c>
      <c r="M13" s="324"/>
      <c r="N13" s="462"/>
      <c r="O13" s="324"/>
      <c r="P13" s="324">
        <f t="shared" si="3"/>
        <v>0</v>
      </c>
      <c r="Q13" s="324"/>
      <c r="R13" s="324"/>
      <c r="S13" s="462"/>
      <c r="U13" s="324"/>
      <c r="V13" s="324"/>
      <c r="W13" s="324">
        <f t="shared" si="8"/>
        <v>0</v>
      </c>
      <c r="X13" s="324"/>
      <c r="Y13" s="462"/>
      <c r="Z13" s="324"/>
      <c r="AA13" s="324"/>
      <c r="AB13" s="324">
        <f t="shared" si="9"/>
        <v>0</v>
      </c>
      <c r="AC13" s="324"/>
      <c r="AD13" s="462"/>
      <c r="AE13" s="324"/>
      <c r="AF13" s="324"/>
      <c r="AG13" s="324">
        <f t="shared" si="10"/>
        <v>0</v>
      </c>
      <c r="AH13" s="324"/>
      <c r="AI13" s="462"/>
      <c r="AJ13" s="26">
        <v>926</v>
      </c>
      <c r="AK13" s="26"/>
      <c r="AL13" s="26">
        <f t="shared" si="7"/>
        <v>926</v>
      </c>
      <c r="AM13" s="26">
        <v>4085.75</v>
      </c>
      <c r="AN13" s="26"/>
    </row>
    <row r="14" spans="1:40" x14ac:dyDescent="0.2">
      <c r="A14" s="3" t="s">
        <v>9</v>
      </c>
      <c r="B14" s="46"/>
      <c r="C14" s="2"/>
      <c r="D14" s="52"/>
      <c r="E14" s="16">
        <f t="shared" si="0"/>
        <v>0</v>
      </c>
      <c r="F14" s="2">
        <v>0</v>
      </c>
      <c r="G14" s="2">
        <f t="shared" si="1"/>
        <v>0</v>
      </c>
      <c r="H14" s="2">
        <v>7280</v>
      </c>
      <c r="I14" s="2">
        <v>6015.1</v>
      </c>
      <c r="J14" s="324"/>
      <c r="K14" s="324"/>
      <c r="L14" s="324">
        <f t="shared" si="2"/>
        <v>0</v>
      </c>
      <c r="M14" s="324"/>
      <c r="N14" s="462"/>
      <c r="O14" s="324"/>
      <c r="P14" s="324">
        <f t="shared" si="3"/>
        <v>0</v>
      </c>
      <c r="Q14" s="324"/>
      <c r="R14" s="324"/>
      <c r="S14" s="462"/>
      <c r="U14" s="324"/>
      <c r="V14" s="324"/>
      <c r="W14" s="324">
        <f t="shared" si="8"/>
        <v>0</v>
      </c>
      <c r="X14" s="324"/>
      <c r="Y14" s="462"/>
      <c r="Z14" s="324"/>
      <c r="AA14" s="324"/>
      <c r="AB14" s="324">
        <f t="shared" si="9"/>
        <v>0</v>
      </c>
      <c r="AC14" s="324"/>
      <c r="AD14" s="462"/>
      <c r="AE14" s="324"/>
      <c r="AF14" s="324"/>
      <c r="AG14" s="324">
        <f t="shared" si="10"/>
        <v>0</v>
      </c>
      <c r="AH14" s="324"/>
      <c r="AI14" s="462"/>
      <c r="AJ14" s="26">
        <v>966</v>
      </c>
      <c r="AK14" s="26"/>
      <c r="AL14" s="26">
        <f t="shared" si="7"/>
        <v>966</v>
      </c>
      <c r="AM14" s="26">
        <v>4235.54</v>
      </c>
      <c r="AN14" s="26"/>
    </row>
    <row r="15" spans="1:40" x14ac:dyDescent="0.2">
      <c r="A15" s="3" t="s">
        <v>10</v>
      </c>
      <c r="B15" s="46"/>
      <c r="C15" s="2"/>
      <c r="D15" s="52"/>
      <c r="E15" s="16">
        <f t="shared" si="0"/>
        <v>0</v>
      </c>
      <c r="F15" s="2">
        <v>0</v>
      </c>
      <c r="G15" s="2">
        <f t="shared" si="1"/>
        <v>0</v>
      </c>
      <c r="H15" s="2">
        <v>13392</v>
      </c>
      <c r="I15" s="2">
        <v>10290.700000000001</v>
      </c>
      <c r="J15" s="324"/>
      <c r="K15" s="324"/>
      <c r="L15" s="324">
        <f t="shared" si="2"/>
        <v>0</v>
      </c>
      <c r="M15" s="324"/>
      <c r="N15" s="462"/>
      <c r="O15" s="324"/>
      <c r="P15" s="324">
        <f t="shared" si="3"/>
        <v>0</v>
      </c>
      <c r="Q15" s="324"/>
      <c r="R15" s="324"/>
      <c r="S15" s="462"/>
      <c r="U15" s="324"/>
      <c r="V15" s="324"/>
      <c r="W15" s="324">
        <f t="shared" si="8"/>
        <v>0</v>
      </c>
      <c r="X15" s="324"/>
      <c r="Y15" s="462"/>
      <c r="Z15" s="324"/>
      <c r="AA15" s="324"/>
      <c r="AB15" s="324">
        <f t="shared" si="9"/>
        <v>0</v>
      </c>
      <c r="AC15" s="324"/>
      <c r="AD15" s="462"/>
      <c r="AE15" s="324"/>
      <c r="AF15" s="324"/>
      <c r="AG15" s="324">
        <f t="shared" si="10"/>
        <v>0</v>
      </c>
      <c r="AH15" s="324"/>
      <c r="AI15" s="462"/>
      <c r="AJ15" s="26">
        <v>1263</v>
      </c>
      <c r="AK15" s="26"/>
      <c r="AL15" s="26">
        <f t="shared" si="7"/>
        <v>1263</v>
      </c>
      <c r="AM15" s="26">
        <v>5347.8</v>
      </c>
      <c r="AN15" s="26"/>
    </row>
    <row r="16" spans="1:40" x14ac:dyDescent="0.2">
      <c r="A16" s="3" t="s">
        <v>11</v>
      </c>
      <c r="B16" s="46"/>
      <c r="C16" s="2"/>
      <c r="D16" s="52"/>
      <c r="E16" s="16">
        <f t="shared" si="0"/>
        <v>0</v>
      </c>
      <c r="F16" s="2">
        <v>0</v>
      </c>
      <c r="G16" s="2">
        <f t="shared" si="1"/>
        <v>0</v>
      </c>
      <c r="H16" s="2">
        <v>19035</v>
      </c>
      <c r="I16" s="2">
        <v>14239.11</v>
      </c>
      <c r="J16" s="325"/>
      <c r="K16" s="325"/>
      <c r="L16" s="325">
        <f t="shared" si="2"/>
        <v>0</v>
      </c>
      <c r="M16" s="325"/>
      <c r="N16" s="463"/>
      <c r="O16" s="325"/>
      <c r="P16" s="325">
        <f t="shared" si="3"/>
        <v>0</v>
      </c>
      <c r="Q16" s="325"/>
      <c r="R16" s="325"/>
      <c r="S16" s="463"/>
      <c r="U16" s="325"/>
      <c r="V16" s="325"/>
      <c r="W16" s="325">
        <f t="shared" si="8"/>
        <v>0</v>
      </c>
      <c r="X16" s="325"/>
      <c r="Y16" s="463"/>
      <c r="Z16" s="325"/>
      <c r="AA16" s="325"/>
      <c r="AB16" s="325">
        <f t="shared" si="9"/>
        <v>0</v>
      </c>
      <c r="AC16" s="325"/>
      <c r="AD16" s="463"/>
      <c r="AE16" s="325"/>
      <c r="AF16" s="325"/>
      <c r="AG16" s="325">
        <f t="shared" si="10"/>
        <v>0</v>
      </c>
      <c r="AH16" s="325"/>
      <c r="AI16" s="463"/>
      <c r="AJ16" s="26">
        <v>1227</v>
      </c>
      <c r="AK16" s="26"/>
      <c r="AL16" s="26">
        <f t="shared" si="7"/>
        <v>1227</v>
      </c>
      <c r="AM16" s="26">
        <v>5212.9799999999996</v>
      </c>
      <c r="AN16" s="26"/>
    </row>
    <row r="17" spans="1:40" x14ac:dyDescent="0.2">
      <c r="A17" s="4" t="s">
        <v>20</v>
      </c>
      <c r="B17" s="53">
        <f>SUM(B5:B16)</f>
        <v>0</v>
      </c>
      <c r="C17" s="5">
        <f t="shared" ref="C17:G17" si="11">SUM(C5:C16)</f>
        <v>0</v>
      </c>
      <c r="D17" s="53">
        <f t="shared" si="11"/>
        <v>0</v>
      </c>
      <c r="E17" s="5">
        <f t="shared" si="11"/>
        <v>0</v>
      </c>
      <c r="F17" s="5">
        <f t="shared" si="11"/>
        <v>0</v>
      </c>
      <c r="G17" s="5">
        <f t="shared" si="11"/>
        <v>0</v>
      </c>
      <c r="H17" s="5">
        <f>SUM(H5:H16)</f>
        <v>111428</v>
      </c>
      <c r="I17" s="5">
        <f>SUM(I5:I16)</f>
        <v>88688.93</v>
      </c>
      <c r="J17" s="5">
        <f>SUM(J5:J16)</f>
        <v>628</v>
      </c>
      <c r="K17" s="5">
        <f t="shared" ref="K17:M17" si="12">SUM(K5:K16)</f>
        <v>0</v>
      </c>
      <c r="L17" s="5">
        <f t="shared" si="12"/>
        <v>628</v>
      </c>
      <c r="M17" s="5">
        <f t="shared" si="12"/>
        <v>3898.9799999999996</v>
      </c>
      <c r="N17" s="5"/>
      <c r="O17" s="103">
        <f t="shared" ref="O17:P17" si="13">SUM(O5:O16)</f>
        <v>192</v>
      </c>
      <c r="P17" s="103">
        <f t="shared" si="13"/>
        <v>6950.4000000000005</v>
      </c>
      <c r="Q17" s="103">
        <f>SUM(Q5:Q16)</f>
        <v>192</v>
      </c>
      <c r="R17" s="103">
        <f>SUM(R5:R16)</f>
        <v>6094.08</v>
      </c>
      <c r="S17" s="5"/>
      <c r="U17" s="5">
        <f>SUM(U5:U16)</f>
        <v>745</v>
      </c>
      <c r="V17" s="5">
        <f t="shared" ref="V17" si="14">SUM(V5:V16)</f>
        <v>0</v>
      </c>
      <c r="W17" s="5">
        <f t="shared" ref="W17" si="15">SUM(W5:W16)</f>
        <v>745</v>
      </c>
      <c r="X17" s="5">
        <f t="shared" ref="X17" si="16">SUM(X5:X16)</f>
        <v>4745.16</v>
      </c>
      <c r="Y17" s="5"/>
      <c r="Z17" s="5">
        <f>SUM(Z5:Z16)</f>
        <v>2804</v>
      </c>
      <c r="AA17" s="5">
        <f t="shared" ref="AA17" si="17">SUM(AA5:AA16)</f>
        <v>0</v>
      </c>
      <c r="AB17" s="5">
        <f t="shared" ref="AB17" si="18">SUM(AB5:AB16)</f>
        <v>2804</v>
      </c>
      <c r="AC17" s="5">
        <f t="shared" ref="AC17" si="19">SUM(AC5:AC16)</f>
        <v>12047.99</v>
      </c>
      <c r="AD17" s="5"/>
      <c r="AE17" s="5">
        <f>SUM(AE5:AE16)</f>
        <v>491</v>
      </c>
      <c r="AF17" s="5">
        <f t="shared" ref="AF17" si="20">SUM(AF5:AF16)</f>
        <v>14258</v>
      </c>
      <c r="AG17" s="5">
        <f t="shared" ref="AG17" si="21">SUM(AG5:AG16)</f>
        <v>14749</v>
      </c>
      <c r="AH17" s="5">
        <f t="shared" ref="AH17" si="22">SUM(AH5:AH16)</f>
        <v>37475.637710000003</v>
      </c>
      <c r="AI17" s="5"/>
      <c r="AJ17" s="5">
        <f>SUM(AJ5:AJ16)</f>
        <v>11773</v>
      </c>
      <c r="AK17" s="5">
        <f t="shared" ref="AK17:AM17" si="23">SUM(AK5:AK16)</f>
        <v>0</v>
      </c>
      <c r="AL17" s="5">
        <f t="shared" si="23"/>
        <v>11773</v>
      </c>
      <c r="AM17" s="5">
        <f t="shared" si="23"/>
        <v>51504.41</v>
      </c>
      <c r="AN17" s="5"/>
    </row>
    <row r="18" spans="1:40" x14ac:dyDescent="0.2">
      <c r="A18" s="1"/>
      <c r="B18" s="1"/>
      <c r="C18" s="1"/>
      <c r="D18" s="1"/>
      <c r="E18" s="28"/>
      <c r="F18" s="54"/>
      <c r="G18" s="55"/>
      <c r="H18" s="54"/>
      <c r="I18" s="55"/>
      <c r="J18" s="29"/>
      <c r="K18" s="29"/>
      <c r="L18" s="29"/>
      <c r="M18" s="32"/>
      <c r="N18" s="32"/>
      <c r="O18" s="27"/>
      <c r="P18" s="32"/>
    </row>
    <row r="19" spans="1:40" x14ac:dyDescent="0.2">
      <c r="A19" s="1"/>
      <c r="B19" s="1"/>
      <c r="C19" s="1"/>
      <c r="D19" s="1"/>
      <c r="E19" s="1"/>
      <c r="F19" s="1"/>
      <c r="G19" s="1"/>
      <c r="H19" s="1" t="s">
        <v>197</v>
      </c>
      <c r="I19" s="1"/>
      <c r="J19" s="1"/>
      <c r="K19" s="1"/>
      <c r="L19" s="1"/>
      <c r="M19" s="1"/>
      <c r="N19" s="1"/>
      <c r="O19" s="1"/>
      <c r="P19" s="1"/>
    </row>
    <row r="23" spans="1:40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304"/>
      <c r="K23" s="305"/>
      <c r="L23" s="305"/>
      <c r="M23" s="306"/>
      <c r="N23" s="233"/>
      <c r="O23" s="322"/>
      <c r="P23" s="322"/>
    </row>
    <row r="24" spans="1:40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304" t="s">
        <v>14</v>
      </c>
      <c r="K24" s="305"/>
      <c r="L24" s="305"/>
      <c r="M24" s="306"/>
      <c r="N24" s="233"/>
      <c r="O24" s="322" t="s">
        <v>15</v>
      </c>
      <c r="P24" s="322"/>
    </row>
    <row r="25" spans="1:40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8" t="s">
        <v>35</v>
      </c>
      <c r="K25" s="8" t="s">
        <v>36</v>
      </c>
      <c r="L25" s="8" t="s">
        <v>37</v>
      </c>
      <c r="M25" s="8" t="s">
        <v>17</v>
      </c>
      <c r="N25" s="8"/>
      <c r="O25" s="9" t="s">
        <v>23</v>
      </c>
      <c r="P25" s="9" t="s">
        <v>24</v>
      </c>
    </row>
    <row r="26" spans="1:40" ht="12.75" customHeight="1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2"/>
      <c r="I26" s="2"/>
      <c r="J26" s="26"/>
      <c r="K26" s="26"/>
      <c r="L26" s="26">
        <f>J26+K26</f>
        <v>0</v>
      </c>
      <c r="M26" s="26"/>
      <c r="N26" s="26"/>
      <c r="O26" s="50"/>
      <c r="P26" s="16">
        <f>O26*58.26</f>
        <v>0</v>
      </c>
    </row>
    <row r="27" spans="1:40" x14ac:dyDescent="0.2">
      <c r="A27" s="3" t="s">
        <v>1</v>
      </c>
      <c r="B27" s="46">
        <f t="shared" ref="B27:C37" si="24">D27+F27</f>
        <v>0</v>
      </c>
      <c r="C27" s="2">
        <f t="shared" si="24"/>
        <v>0</v>
      </c>
      <c r="D27" s="52"/>
      <c r="E27" s="16">
        <f t="shared" ref="E27:E37" si="25">D27*513.8</f>
        <v>0</v>
      </c>
      <c r="F27" s="2">
        <v>0</v>
      </c>
      <c r="G27" s="2">
        <f t="shared" ref="G27:G37" si="26">F27*336.1423</f>
        <v>0</v>
      </c>
      <c r="H27" s="2"/>
      <c r="I27" s="2"/>
      <c r="J27" s="26"/>
      <c r="K27" s="26"/>
      <c r="L27" s="26">
        <f t="shared" ref="L27:L38" si="27">J27+K27</f>
        <v>0</v>
      </c>
      <c r="M27" s="26"/>
      <c r="N27" s="26"/>
      <c r="O27" s="50"/>
      <c r="P27" s="16">
        <f t="shared" ref="P27:P37" si="28">O27*58.26</f>
        <v>0</v>
      </c>
    </row>
    <row r="28" spans="1:40" x14ac:dyDescent="0.2">
      <c r="A28" s="3" t="s">
        <v>2</v>
      </c>
      <c r="B28" s="46">
        <f t="shared" si="24"/>
        <v>0</v>
      </c>
      <c r="C28" s="2">
        <f t="shared" si="24"/>
        <v>0</v>
      </c>
      <c r="D28" s="52"/>
      <c r="E28" s="16">
        <f t="shared" si="25"/>
        <v>0</v>
      </c>
      <c r="F28" s="2">
        <v>0</v>
      </c>
      <c r="G28" s="2">
        <f t="shared" si="26"/>
        <v>0</v>
      </c>
      <c r="H28" s="2"/>
      <c r="I28" s="2"/>
      <c r="J28" s="26"/>
      <c r="K28" s="26"/>
      <c r="L28" s="26">
        <f t="shared" si="27"/>
        <v>0</v>
      </c>
      <c r="M28" s="26"/>
      <c r="N28" s="26"/>
      <c r="O28" s="50"/>
      <c r="P28" s="16">
        <f t="shared" si="28"/>
        <v>0</v>
      </c>
    </row>
    <row r="29" spans="1:40" x14ac:dyDescent="0.2">
      <c r="A29" s="3" t="s">
        <v>3</v>
      </c>
      <c r="B29" s="46">
        <f t="shared" si="24"/>
        <v>0</v>
      </c>
      <c r="C29" s="2">
        <f t="shared" si="24"/>
        <v>0</v>
      </c>
      <c r="D29" s="52"/>
      <c r="E29" s="16">
        <f t="shared" si="25"/>
        <v>0</v>
      </c>
      <c r="F29" s="2">
        <v>0</v>
      </c>
      <c r="G29" s="2">
        <f t="shared" si="26"/>
        <v>0</v>
      </c>
      <c r="H29" s="2"/>
      <c r="I29" s="2"/>
      <c r="J29" s="26"/>
      <c r="K29" s="26"/>
      <c r="L29" s="26">
        <f t="shared" si="27"/>
        <v>0</v>
      </c>
      <c r="M29" s="26"/>
      <c r="N29" s="26"/>
      <c r="O29" s="50"/>
      <c r="P29" s="16">
        <f t="shared" si="28"/>
        <v>0</v>
      </c>
    </row>
    <row r="30" spans="1:40" x14ac:dyDescent="0.2">
      <c r="A30" s="3" t="s">
        <v>4</v>
      </c>
      <c r="B30" s="46">
        <f t="shared" si="24"/>
        <v>0</v>
      </c>
      <c r="C30" s="2">
        <f t="shared" si="24"/>
        <v>0</v>
      </c>
      <c r="D30" s="52"/>
      <c r="E30" s="16">
        <f t="shared" si="25"/>
        <v>0</v>
      </c>
      <c r="F30" s="2">
        <v>0</v>
      </c>
      <c r="G30" s="2">
        <f t="shared" si="26"/>
        <v>0</v>
      </c>
      <c r="H30" s="2"/>
      <c r="I30" s="2"/>
      <c r="J30" s="26"/>
      <c r="K30" s="26"/>
      <c r="L30" s="26">
        <f t="shared" si="27"/>
        <v>0</v>
      </c>
      <c r="M30" s="26"/>
      <c r="N30" s="26"/>
      <c r="O30" s="50"/>
      <c r="P30" s="16">
        <f t="shared" si="28"/>
        <v>0</v>
      </c>
    </row>
    <row r="31" spans="1:40" x14ac:dyDescent="0.2">
      <c r="A31" s="3" t="s">
        <v>5</v>
      </c>
      <c r="B31" s="46">
        <f t="shared" si="24"/>
        <v>0</v>
      </c>
      <c r="C31" s="2">
        <f t="shared" si="24"/>
        <v>0</v>
      </c>
      <c r="D31" s="52"/>
      <c r="E31" s="16">
        <f t="shared" si="25"/>
        <v>0</v>
      </c>
      <c r="F31" s="2">
        <v>0</v>
      </c>
      <c r="G31" s="2">
        <f t="shared" si="26"/>
        <v>0</v>
      </c>
      <c r="H31" s="2"/>
      <c r="I31" s="2"/>
      <c r="J31" s="26"/>
      <c r="K31" s="26"/>
      <c r="L31" s="26">
        <f t="shared" si="27"/>
        <v>0</v>
      </c>
      <c r="M31" s="26"/>
      <c r="N31" s="26"/>
      <c r="O31" s="50"/>
      <c r="P31" s="16">
        <f t="shared" si="28"/>
        <v>0</v>
      </c>
    </row>
    <row r="32" spans="1:40" x14ac:dyDescent="0.2">
      <c r="A32" s="3" t="s">
        <v>6</v>
      </c>
      <c r="B32" s="46">
        <f t="shared" si="24"/>
        <v>0</v>
      </c>
      <c r="C32" s="2">
        <f t="shared" si="24"/>
        <v>0</v>
      </c>
      <c r="D32" s="52"/>
      <c r="E32" s="16">
        <f t="shared" si="25"/>
        <v>0</v>
      </c>
      <c r="F32" s="2">
        <v>0</v>
      </c>
      <c r="G32" s="2">
        <f t="shared" si="26"/>
        <v>0</v>
      </c>
      <c r="H32" s="2"/>
      <c r="I32" s="2"/>
      <c r="J32" s="26"/>
      <c r="K32" s="26"/>
      <c r="L32" s="26">
        <f t="shared" si="27"/>
        <v>0</v>
      </c>
      <c r="M32" s="26"/>
      <c r="N32" s="26"/>
      <c r="O32" s="50"/>
      <c r="P32" s="16">
        <f t="shared" si="28"/>
        <v>0</v>
      </c>
    </row>
    <row r="33" spans="1:16" x14ac:dyDescent="0.2">
      <c r="A33" s="3" t="s">
        <v>7</v>
      </c>
      <c r="B33" s="46">
        <f t="shared" si="24"/>
        <v>0</v>
      </c>
      <c r="C33" s="2">
        <f t="shared" si="24"/>
        <v>0</v>
      </c>
      <c r="D33" s="52"/>
      <c r="E33" s="16">
        <f t="shared" si="25"/>
        <v>0</v>
      </c>
      <c r="F33" s="2">
        <v>0</v>
      </c>
      <c r="G33" s="2">
        <f t="shared" si="26"/>
        <v>0</v>
      </c>
      <c r="H33" s="2"/>
      <c r="I33" s="2"/>
      <c r="J33" s="26"/>
      <c r="K33" s="26"/>
      <c r="L33" s="26">
        <f t="shared" si="27"/>
        <v>0</v>
      </c>
      <c r="M33" s="26"/>
      <c r="N33" s="26"/>
      <c r="O33" s="50"/>
      <c r="P33" s="16">
        <f t="shared" si="28"/>
        <v>0</v>
      </c>
    </row>
    <row r="34" spans="1:16" x14ac:dyDescent="0.2">
      <c r="A34" s="3" t="s">
        <v>8</v>
      </c>
      <c r="B34" s="46">
        <f t="shared" si="24"/>
        <v>0</v>
      </c>
      <c r="C34" s="2">
        <f t="shared" si="24"/>
        <v>0</v>
      </c>
      <c r="D34" s="52"/>
      <c r="E34" s="16">
        <f t="shared" si="25"/>
        <v>0</v>
      </c>
      <c r="F34" s="2">
        <v>0</v>
      </c>
      <c r="G34" s="2">
        <f t="shared" si="26"/>
        <v>0</v>
      </c>
      <c r="H34" s="2"/>
      <c r="I34" s="2"/>
      <c r="J34" s="26"/>
      <c r="K34" s="26"/>
      <c r="L34" s="26">
        <f t="shared" si="27"/>
        <v>0</v>
      </c>
      <c r="M34" s="26"/>
      <c r="N34" s="26"/>
      <c r="O34" s="50"/>
      <c r="P34" s="16">
        <f t="shared" si="28"/>
        <v>0</v>
      </c>
    </row>
    <row r="35" spans="1:16" x14ac:dyDescent="0.2">
      <c r="A35" s="3" t="s">
        <v>9</v>
      </c>
      <c r="B35" s="46">
        <f t="shared" si="24"/>
        <v>0</v>
      </c>
      <c r="C35" s="2">
        <f t="shared" si="24"/>
        <v>0</v>
      </c>
      <c r="D35" s="52"/>
      <c r="E35" s="16">
        <f t="shared" si="25"/>
        <v>0</v>
      </c>
      <c r="F35" s="2">
        <v>0</v>
      </c>
      <c r="G35" s="2">
        <f t="shared" si="26"/>
        <v>0</v>
      </c>
      <c r="H35" s="2"/>
      <c r="I35" s="2"/>
      <c r="J35" s="26"/>
      <c r="K35" s="26"/>
      <c r="L35" s="26">
        <f t="shared" si="27"/>
        <v>0</v>
      </c>
      <c r="M35" s="26"/>
      <c r="N35" s="26"/>
      <c r="O35" s="50"/>
      <c r="P35" s="16">
        <f t="shared" si="28"/>
        <v>0</v>
      </c>
    </row>
    <row r="36" spans="1:16" ht="12.75" customHeight="1" x14ac:dyDescent="0.2">
      <c r="A36" s="3" t="s">
        <v>10</v>
      </c>
      <c r="B36" s="46">
        <f t="shared" si="24"/>
        <v>0</v>
      </c>
      <c r="C36" s="2">
        <f t="shared" si="24"/>
        <v>0</v>
      </c>
      <c r="D36" s="52"/>
      <c r="E36" s="16">
        <f t="shared" si="25"/>
        <v>0</v>
      </c>
      <c r="F36" s="2">
        <v>0</v>
      </c>
      <c r="G36" s="2">
        <f t="shared" si="26"/>
        <v>0</v>
      </c>
      <c r="H36" s="2"/>
      <c r="I36" s="2"/>
      <c r="J36" s="26"/>
      <c r="K36" s="26"/>
      <c r="L36" s="26">
        <f t="shared" si="27"/>
        <v>0</v>
      </c>
      <c r="M36" s="26"/>
      <c r="N36" s="26"/>
      <c r="O36" s="50"/>
      <c r="P36" s="16">
        <f t="shared" si="28"/>
        <v>0</v>
      </c>
    </row>
    <row r="37" spans="1:16" x14ac:dyDescent="0.2">
      <c r="A37" s="3" t="s">
        <v>11</v>
      </c>
      <c r="B37" s="46">
        <f t="shared" si="24"/>
        <v>0</v>
      </c>
      <c r="C37" s="2">
        <f t="shared" si="24"/>
        <v>0</v>
      </c>
      <c r="D37" s="52"/>
      <c r="E37" s="16">
        <f t="shared" si="25"/>
        <v>0</v>
      </c>
      <c r="F37" s="2">
        <v>0</v>
      </c>
      <c r="G37" s="2">
        <f t="shared" si="26"/>
        <v>0</v>
      </c>
      <c r="H37" s="2"/>
      <c r="I37" s="2"/>
      <c r="J37" s="26"/>
      <c r="K37" s="26"/>
      <c r="L37" s="26">
        <f t="shared" si="27"/>
        <v>0</v>
      </c>
      <c r="M37" s="26"/>
      <c r="N37" s="26"/>
      <c r="O37" s="50"/>
      <c r="P37" s="16">
        <f t="shared" si="28"/>
        <v>0</v>
      </c>
    </row>
    <row r="38" spans="1:16" x14ac:dyDescent="0.2">
      <c r="A38" s="4" t="s">
        <v>20</v>
      </c>
      <c r="B38" s="53">
        <f>SUM(B26:B37)</f>
        <v>0</v>
      </c>
      <c r="C38" s="5">
        <f t="shared" ref="C38:G38" si="29">SUM(C26:C37)</f>
        <v>0</v>
      </c>
      <c r="D38" s="53">
        <f t="shared" si="29"/>
        <v>0</v>
      </c>
      <c r="E38" s="5">
        <f t="shared" si="29"/>
        <v>0</v>
      </c>
      <c r="F38" s="5">
        <f t="shared" si="29"/>
        <v>0</v>
      </c>
      <c r="G38" s="5">
        <f t="shared" si="29"/>
        <v>0</v>
      </c>
      <c r="H38" s="5"/>
      <c r="I38" s="5"/>
      <c r="J38" s="5"/>
      <c r="K38" s="5"/>
      <c r="L38" s="26">
        <f t="shared" si="27"/>
        <v>0</v>
      </c>
      <c r="M38" s="5"/>
      <c r="N38" s="5"/>
      <c r="O38" s="5">
        <f t="shared" ref="O38:P38" si="30">SUM(O26:O37)</f>
        <v>0</v>
      </c>
      <c r="P38" s="5">
        <f t="shared" si="30"/>
        <v>0</v>
      </c>
    </row>
    <row r="44" spans="1:16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335"/>
      <c r="K44" s="335"/>
      <c r="L44" s="335"/>
      <c r="M44" s="335"/>
      <c r="N44" s="232"/>
      <c r="O44" s="322"/>
      <c r="P44" s="322"/>
    </row>
    <row r="45" spans="1:16" x14ac:dyDescent="0.2">
      <c r="A45" s="320"/>
      <c r="B45" s="7"/>
      <c r="C45" s="7"/>
      <c r="D45" s="7"/>
      <c r="E45" s="7"/>
      <c r="F45" s="7"/>
      <c r="G45" s="7"/>
      <c r="H45" s="20"/>
      <c r="I45" s="20"/>
      <c r="J45" s="8"/>
      <c r="K45" s="8"/>
      <c r="L45" s="8"/>
      <c r="M45" s="8"/>
      <c r="N45" s="8"/>
      <c r="O45" s="9"/>
      <c r="P45" s="9"/>
    </row>
    <row r="46" spans="1:16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6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16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16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16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</row>
    <row r="51" spans="1:16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</row>
    <row r="52" spans="1:16" ht="12.75" customHeight="1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</row>
    <row r="53" spans="1:16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</row>
    <row r="54" spans="1:16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</row>
    <row r="55" spans="1:16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</row>
    <row r="56" spans="1:16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</row>
    <row r="57" spans="1:16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</row>
    <row r="58" spans="1:16" ht="12.75" customHeight="1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</sheetData>
  <mergeCells count="93">
    <mergeCell ref="U2:X2"/>
    <mergeCell ref="U3:X3"/>
    <mergeCell ref="J2:M2"/>
    <mergeCell ref="J3:M3"/>
    <mergeCell ref="O11:O16"/>
    <mergeCell ref="P11:P16"/>
    <mergeCell ref="Q11:Q16"/>
    <mergeCell ref="R11:R16"/>
    <mergeCell ref="S5:S10"/>
    <mergeCell ref="S11:S16"/>
    <mergeCell ref="O5:O10"/>
    <mergeCell ref="P5:P10"/>
    <mergeCell ref="Q5:Q10"/>
    <mergeCell ref="R5:R10"/>
    <mergeCell ref="O2:P2"/>
    <mergeCell ref="Q2:R2"/>
    <mergeCell ref="J5:J7"/>
    <mergeCell ref="K5:K7"/>
    <mergeCell ref="L5:L7"/>
    <mergeCell ref="M5:M7"/>
    <mergeCell ref="N5:N7"/>
    <mergeCell ref="AI8:AI16"/>
    <mergeCell ref="AJ2:AM2"/>
    <mergeCell ref="AJ3:AM3"/>
    <mergeCell ref="AI5:AI7"/>
    <mergeCell ref="AD8:AD16"/>
    <mergeCell ref="AE2:AH2"/>
    <mergeCell ref="AE3:AH3"/>
    <mergeCell ref="AE8:AE16"/>
    <mergeCell ref="AF8:AF16"/>
    <mergeCell ref="AG8:AG16"/>
    <mergeCell ref="AH8:AH16"/>
    <mergeCell ref="AE5:AE7"/>
    <mergeCell ref="AF5:AF7"/>
    <mergeCell ref="AG5:AG7"/>
    <mergeCell ref="AH5:AH7"/>
    <mergeCell ref="AD5:AD7"/>
    <mergeCell ref="Y8:Y16"/>
    <mergeCell ref="Z2:AC2"/>
    <mergeCell ref="Z3:AC3"/>
    <mergeCell ref="Z8:Z16"/>
    <mergeCell ref="AA8:AA16"/>
    <mergeCell ref="AB8:AB16"/>
    <mergeCell ref="AC8:AC16"/>
    <mergeCell ref="Z5:Z7"/>
    <mergeCell ref="AA5:AA7"/>
    <mergeCell ref="AB5:AB7"/>
    <mergeCell ref="AC5:AC7"/>
    <mergeCell ref="Y5:Y7"/>
    <mergeCell ref="J8:J16"/>
    <mergeCell ref="K8:K16"/>
    <mergeCell ref="L8:L16"/>
    <mergeCell ref="M8:M16"/>
    <mergeCell ref="N8:N16"/>
    <mergeCell ref="U8:U16"/>
    <mergeCell ref="V8:V16"/>
    <mergeCell ref="W8:W16"/>
    <mergeCell ref="X8:X16"/>
    <mergeCell ref="O3:P3"/>
    <mergeCell ref="U5:U7"/>
    <mergeCell ref="V5:V7"/>
    <mergeCell ref="W5:W7"/>
    <mergeCell ref="X5:X7"/>
    <mergeCell ref="Q3:R3"/>
    <mergeCell ref="O44:P44"/>
    <mergeCell ref="A44:A45"/>
    <mergeCell ref="B44:C44"/>
    <mergeCell ref="D44:E44"/>
    <mergeCell ref="F44:G44"/>
    <mergeCell ref="H44:I44"/>
    <mergeCell ref="J44:M44"/>
    <mergeCell ref="O23:P23"/>
    <mergeCell ref="B24:C24"/>
    <mergeCell ref="D24:E24"/>
    <mergeCell ref="F24:G24"/>
    <mergeCell ref="H24:I24"/>
    <mergeCell ref="J24:M24"/>
    <mergeCell ref="O24:P24"/>
    <mergeCell ref="J23:M23"/>
    <mergeCell ref="A23:A25"/>
    <mergeCell ref="B23:C23"/>
    <mergeCell ref="D23:E23"/>
    <mergeCell ref="F23:G23"/>
    <mergeCell ref="H23:I23"/>
    <mergeCell ref="A2:A4"/>
    <mergeCell ref="B2:C2"/>
    <mergeCell ref="D2:E2"/>
    <mergeCell ref="F2:G2"/>
    <mergeCell ref="H2:I2"/>
    <mergeCell ref="B3:C3"/>
    <mergeCell ref="D3:E3"/>
    <mergeCell ref="F3:G3"/>
    <mergeCell ref="H3:I3"/>
  </mergeCells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B8A1E-A601-418D-BE2D-166E11D441CF}">
  <dimension ref="A1:T58"/>
  <sheetViews>
    <sheetView topLeftCell="A22" workbookViewId="0">
      <selection activeCell="A44" sqref="A44:O60"/>
    </sheetView>
  </sheetViews>
  <sheetFormatPr defaultRowHeight="12.75" x14ac:dyDescent="0.2"/>
  <cols>
    <col min="1" max="1" width="12.7109375" style="161" customWidth="1"/>
    <col min="2" max="15" width="11.7109375" style="161" customWidth="1"/>
    <col min="16" max="16384" width="9.140625" style="161"/>
  </cols>
  <sheetData>
    <row r="1" spans="1:20" ht="15" x14ac:dyDescent="0.2">
      <c r="A1" s="210" t="s">
        <v>144</v>
      </c>
      <c r="B1" s="163"/>
      <c r="C1" s="163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73" t="s">
        <v>33</v>
      </c>
    </row>
    <row r="2" spans="1:20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54"/>
      <c r="I2" s="350"/>
      <c r="J2" s="355"/>
      <c r="K2" s="356"/>
      <c r="L2" s="356"/>
      <c r="M2" s="357"/>
      <c r="N2" s="361"/>
      <c r="O2" s="361"/>
      <c r="Q2" s="161" t="s">
        <v>143</v>
      </c>
    </row>
    <row r="3" spans="1:20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29</v>
      </c>
      <c r="I3" s="350"/>
      <c r="J3" s="355" t="s">
        <v>14</v>
      </c>
      <c r="K3" s="356"/>
      <c r="L3" s="356"/>
      <c r="M3" s="357"/>
      <c r="N3" s="361" t="s">
        <v>15</v>
      </c>
      <c r="O3" s="361"/>
      <c r="Q3" s="209" t="s">
        <v>142</v>
      </c>
      <c r="R3" s="208"/>
      <c r="S3" s="208"/>
      <c r="T3" s="208"/>
    </row>
    <row r="4" spans="1:20" ht="14.25" customHeight="1" x14ac:dyDescent="0.2">
      <c r="A4" s="368"/>
      <c r="B4" s="159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5" t="s">
        <v>18</v>
      </c>
      <c r="I4" s="155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</row>
    <row r="5" spans="1:20" x14ac:dyDescent="0.2">
      <c r="A5" s="149" t="s">
        <v>0</v>
      </c>
      <c r="B5" s="158"/>
      <c r="C5" s="148"/>
      <c r="D5" s="169"/>
      <c r="E5" s="154"/>
      <c r="F5" s="148"/>
      <c r="G5" s="148"/>
      <c r="H5" s="148"/>
      <c r="I5" s="148"/>
      <c r="J5" s="111"/>
      <c r="K5" s="111"/>
      <c r="L5" s="111"/>
      <c r="M5" s="111"/>
      <c r="N5" s="114"/>
      <c r="O5" s="154"/>
    </row>
    <row r="6" spans="1:20" x14ac:dyDescent="0.2">
      <c r="A6" s="149" t="s">
        <v>1</v>
      </c>
      <c r="B6" s="158"/>
      <c r="C6" s="148"/>
      <c r="D6" s="170"/>
      <c r="E6" s="154"/>
      <c r="F6" s="148"/>
      <c r="G6" s="148"/>
      <c r="H6" s="148"/>
      <c r="I6" s="148"/>
      <c r="J6" s="111"/>
      <c r="K6" s="111"/>
      <c r="L6" s="111"/>
      <c r="M6" s="111"/>
      <c r="N6" s="114"/>
      <c r="O6" s="154"/>
    </row>
    <row r="7" spans="1:20" x14ac:dyDescent="0.2">
      <c r="A7" s="149" t="s">
        <v>2</v>
      </c>
      <c r="B7" s="158"/>
      <c r="C7" s="148"/>
      <c r="D7" s="170"/>
      <c r="E7" s="154"/>
      <c r="F7" s="148"/>
      <c r="G7" s="148"/>
      <c r="H7" s="148"/>
      <c r="I7" s="148"/>
      <c r="J7" s="111"/>
      <c r="K7" s="111"/>
      <c r="L7" s="111"/>
      <c r="M7" s="111"/>
      <c r="N7" s="114"/>
      <c r="O7" s="154"/>
    </row>
    <row r="8" spans="1:20" x14ac:dyDescent="0.2">
      <c r="A8" s="149" t="s">
        <v>3</v>
      </c>
      <c r="B8" s="158"/>
      <c r="C8" s="148"/>
      <c r="D8" s="170"/>
      <c r="E8" s="154"/>
      <c r="F8" s="148"/>
      <c r="G8" s="148"/>
      <c r="H8" s="148"/>
      <c r="I8" s="148"/>
      <c r="J8" s="111"/>
      <c r="K8" s="111"/>
      <c r="L8" s="111"/>
      <c r="M8" s="111"/>
      <c r="N8" s="114"/>
      <c r="O8" s="154"/>
    </row>
    <row r="9" spans="1:20" x14ac:dyDescent="0.2">
      <c r="A9" s="149" t="s">
        <v>4</v>
      </c>
      <c r="B9" s="158"/>
      <c r="C9" s="148"/>
      <c r="D9" s="170"/>
      <c r="E9" s="154"/>
      <c r="F9" s="148"/>
      <c r="G9" s="148"/>
      <c r="H9" s="148"/>
      <c r="I9" s="148"/>
      <c r="J9" s="111"/>
      <c r="K9" s="111"/>
      <c r="L9" s="111"/>
      <c r="M9" s="111"/>
      <c r="N9" s="114"/>
      <c r="O9" s="154"/>
    </row>
    <row r="10" spans="1:20" x14ac:dyDescent="0.2">
      <c r="A10" s="149" t="s">
        <v>5</v>
      </c>
      <c r="B10" s="158"/>
      <c r="C10" s="148"/>
      <c r="D10" s="170"/>
      <c r="E10" s="154"/>
      <c r="F10" s="148"/>
      <c r="G10" s="148"/>
      <c r="H10" s="148"/>
      <c r="I10" s="148"/>
      <c r="J10" s="111"/>
      <c r="K10" s="111"/>
      <c r="L10" s="111"/>
      <c r="M10" s="111"/>
      <c r="N10" s="114"/>
      <c r="O10" s="154"/>
    </row>
    <row r="11" spans="1:20" x14ac:dyDescent="0.2">
      <c r="A11" s="149" t="s">
        <v>6</v>
      </c>
      <c r="B11" s="158"/>
      <c r="C11" s="148"/>
      <c r="D11" s="170"/>
      <c r="E11" s="154"/>
      <c r="F11" s="148"/>
      <c r="G11" s="148"/>
      <c r="H11" s="148"/>
      <c r="I11" s="148"/>
      <c r="J11" s="111"/>
      <c r="K11" s="111"/>
      <c r="L11" s="111"/>
      <c r="M11" s="111"/>
      <c r="N11" s="114"/>
      <c r="O11" s="154"/>
    </row>
    <row r="12" spans="1:20" x14ac:dyDescent="0.2">
      <c r="A12" s="149" t="s">
        <v>7</v>
      </c>
      <c r="B12" s="158"/>
      <c r="C12" s="148"/>
      <c r="D12" s="170"/>
      <c r="E12" s="154"/>
      <c r="F12" s="148"/>
      <c r="G12" s="148"/>
      <c r="H12" s="148"/>
      <c r="I12" s="148"/>
      <c r="J12" s="111"/>
      <c r="K12" s="111"/>
      <c r="L12" s="111"/>
      <c r="M12" s="111"/>
      <c r="N12" s="114"/>
      <c r="O12" s="154"/>
    </row>
    <row r="13" spans="1:20" x14ac:dyDescent="0.2">
      <c r="A13" s="149" t="s">
        <v>8</v>
      </c>
      <c r="B13" s="158"/>
      <c r="C13" s="148"/>
      <c r="D13" s="170"/>
      <c r="E13" s="154"/>
      <c r="F13" s="148"/>
      <c r="G13" s="148"/>
      <c r="H13" s="148"/>
      <c r="I13" s="148"/>
      <c r="J13" s="111"/>
      <c r="K13" s="111"/>
      <c r="L13" s="111"/>
      <c r="M13" s="111"/>
      <c r="N13" s="114"/>
      <c r="O13" s="154"/>
    </row>
    <row r="14" spans="1:20" x14ac:dyDescent="0.2">
      <c r="A14" s="149" t="s">
        <v>9</v>
      </c>
      <c r="B14" s="158"/>
      <c r="C14" s="148"/>
      <c r="D14" s="170"/>
      <c r="E14" s="154"/>
      <c r="F14" s="148"/>
      <c r="G14" s="148"/>
      <c r="H14" s="148"/>
      <c r="I14" s="148"/>
      <c r="J14" s="111"/>
      <c r="K14" s="111"/>
      <c r="L14" s="111"/>
      <c r="M14" s="111"/>
      <c r="N14" s="114"/>
      <c r="O14" s="154"/>
    </row>
    <row r="15" spans="1:20" x14ac:dyDescent="0.2">
      <c r="A15" s="149" t="s">
        <v>10</v>
      </c>
      <c r="B15" s="158"/>
      <c r="C15" s="148"/>
      <c r="D15" s="170"/>
      <c r="E15" s="154"/>
      <c r="F15" s="148"/>
      <c r="G15" s="148"/>
      <c r="H15" s="148"/>
      <c r="I15" s="148"/>
      <c r="J15" s="111"/>
      <c r="K15" s="111"/>
      <c r="L15" s="111"/>
      <c r="M15" s="111"/>
      <c r="N15" s="114"/>
      <c r="O15" s="154"/>
    </row>
    <row r="16" spans="1:20" x14ac:dyDescent="0.2">
      <c r="A16" s="149" t="s">
        <v>11</v>
      </c>
      <c r="B16" s="158"/>
      <c r="C16" s="148"/>
      <c r="D16" s="170"/>
      <c r="E16" s="154"/>
      <c r="F16" s="148"/>
      <c r="G16" s="148"/>
      <c r="H16" s="148"/>
      <c r="I16" s="148"/>
      <c r="J16" s="111"/>
      <c r="K16" s="111"/>
      <c r="L16" s="111"/>
      <c r="M16" s="111"/>
      <c r="N16" s="114"/>
      <c r="O16" s="154"/>
    </row>
    <row r="17" spans="1:15" x14ac:dyDescent="0.2">
      <c r="A17" s="104" t="s">
        <v>20</v>
      </c>
      <c r="B17" s="112">
        <f t="shared" ref="B17:G17" si="0">SUM(B5:B16)</f>
        <v>0</v>
      </c>
      <c r="C17" s="103">
        <f t="shared" si="0"/>
        <v>0</v>
      </c>
      <c r="D17" s="112">
        <f t="shared" si="0"/>
        <v>0</v>
      </c>
      <c r="E17" s="103">
        <f t="shared" si="0"/>
        <v>0</v>
      </c>
      <c r="F17" s="103">
        <f t="shared" si="0"/>
        <v>0</v>
      </c>
      <c r="G17" s="103">
        <f t="shared" si="0"/>
        <v>0</v>
      </c>
      <c r="H17" s="103"/>
      <c r="I17" s="103"/>
      <c r="J17" s="103"/>
      <c r="K17" s="103"/>
      <c r="L17" s="111">
        <f>J17+K17</f>
        <v>0</v>
      </c>
      <c r="M17" s="103"/>
      <c r="N17" s="103">
        <f>SUM(N5:N16)</f>
        <v>0</v>
      </c>
      <c r="O17" s="103">
        <f>SUM(O5:O16)</f>
        <v>0</v>
      </c>
    </row>
    <row r="18" spans="1:15" x14ac:dyDescent="0.2">
      <c r="A18" s="162"/>
      <c r="B18" s="162"/>
      <c r="C18" s="162"/>
      <c r="D18" s="162"/>
      <c r="E18" s="166"/>
      <c r="F18" s="171"/>
      <c r="G18" s="172"/>
      <c r="H18" s="171"/>
      <c r="I18" s="172"/>
      <c r="J18" s="167"/>
      <c r="K18" s="167"/>
      <c r="L18" s="167"/>
      <c r="M18" s="168"/>
      <c r="N18" s="120"/>
      <c r="O18" s="168"/>
    </row>
    <row r="19" spans="1:15" x14ac:dyDescent="0.2">
      <c r="A19" s="162"/>
      <c r="B19" s="162"/>
      <c r="C19" s="162"/>
      <c r="D19" s="162"/>
      <c r="E19" s="162"/>
      <c r="F19" s="162"/>
      <c r="G19" s="162"/>
      <c r="I19" s="162"/>
      <c r="J19" s="162"/>
      <c r="K19" s="162"/>
      <c r="L19" s="162"/>
      <c r="M19" s="162"/>
      <c r="N19" s="162"/>
      <c r="O19" s="162"/>
    </row>
    <row r="23" spans="1:15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355"/>
      <c r="K23" s="356"/>
      <c r="L23" s="356"/>
      <c r="M23" s="357"/>
      <c r="N23" s="361"/>
      <c r="O23" s="361"/>
    </row>
    <row r="24" spans="1:15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15</v>
      </c>
      <c r="O24" s="361"/>
    </row>
    <row r="25" spans="1:15" ht="14.25" x14ac:dyDescent="0.2">
      <c r="A25" s="368"/>
      <c r="B25" s="159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5" t="s">
        <v>18</v>
      </c>
      <c r="I25" s="155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24</v>
      </c>
    </row>
    <row r="26" spans="1:15" x14ac:dyDescent="0.2">
      <c r="A26" s="149" t="s">
        <v>0</v>
      </c>
      <c r="B26" s="158"/>
      <c r="C26" s="148"/>
      <c r="D26" s="169"/>
      <c r="E26" s="154"/>
      <c r="F26" s="148"/>
      <c r="G26" s="148"/>
      <c r="H26" s="148"/>
      <c r="I26" s="148"/>
      <c r="J26" s="111"/>
      <c r="K26" s="111"/>
      <c r="L26" s="111"/>
      <c r="M26" s="111"/>
      <c r="N26" s="114"/>
      <c r="O26" s="154"/>
    </row>
    <row r="27" spans="1:15" x14ac:dyDescent="0.2">
      <c r="A27" s="149" t="s">
        <v>1</v>
      </c>
      <c r="B27" s="158"/>
      <c r="C27" s="148"/>
      <c r="D27" s="170"/>
      <c r="E27" s="154"/>
      <c r="F27" s="148"/>
      <c r="G27" s="148"/>
      <c r="H27" s="148"/>
      <c r="I27" s="148"/>
      <c r="J27" s="111"/>
      <c r="K27" s="111"/>
      <c r="L27" s="111"/>
      <c r="M27" s="111"/>
      <c r="N27" s="114"/>
      <c r="O27" s="154"/>
    </row>
    <row r="28" spans="1:15" x14ac:dyDescent="0.2">
      <c r="A28" s="149" t="s">
        <v>2</v>
      </c>
      <c r="B28" s="158"/>
      <c r="C28" s="148"/>
      <c r="D28" s="170"/>
      <c r="E28" s="154"/>
      <c r="F28" s="148"/>
      <c r="G28" s="148"/>
      <c r="H28" s="148"/>
      <c r="I28" s="148"/>
      <c r="J28" s="111"/>
      <c r="K28" s="111"/>
      <c r="L28" s="111"/>
      <c r="M28" s="111"/>
      <c r="N28" s="114"/>
      <c r="O28" s="154"/>
    </row>
    <row r="29" spans="1:15" x14ac:dyDescent="0.2">
      <c r="A29" s="149" t="s">
        <v>3</v>
      </c>
      <c r="B29" s="158"/>
      <c r="C29" s="148"/>
      <c r="D29" s="170"/>
      <c r="E29" s="154"/>
      <c r="F29" s="148"/>
      <c r="G29" s="148"/>
      <c r="H29" s="148"/>
      <c r="I29" s="148"/>
      <c r="J29" s="111"/>
      <c r="K29" s="111"/>
      <c r="L29" s="111"/>
      <c r="M29" s="111"/>
      <c r="N29" s="114"/>
      <c r="O29" s="154"/>
    </row>
    <row r="30" spans="1:15" x14ac:dyDescent="0.2">
      <c r="A30" s="149" t="s">
        <v>4</v>
      </c>
      <c r="B30" s="158"/>
      <c r="C30" s="148"/>
      <c r="D30" s="170"/>
      <c r="E30" s="154"/>
      <c r="F30" s="148"/>
      <c r="G30" s="148"/>
      <c r="H30" s="148"/>
      <c r="I30" s="148"/>
      <c r="J30" s="111"/>
      <c r="K30" s="111"/>
      <c r="L30" s="111"/>
      <c r="M30" s="111"/>
      <c r="N30" s="114"/>
      <c r="O30" s="154"/>
    </row>
    <row r="31" spans="1:15" x14ac:dyDescent="0.2">
      <c r="A31" s="149" t="s">
        <v>5</v>
      </c>
      <c r="B31" s="158"/>
      <c r="C31" s="148"/>
      <c r="D31" s="170"/>
      <c r="E31" s="154"/>
      <c r="F31" s="148"/>
      <c r="G31" s="148"/>
      <c r="H31" s="148"/>
      <c r="I31" s="148"/>
      <c r="J31" s="111"/>
      <c r="K31" s="111"/>
      <c r="L31" s="111"/>
      <c r="M31" s="111"/>
      <c r="N31" s="114"/>
      <c r="O31" s="154"/>
    </row>
    <row r="32" spans="1:15" x14ac:dyDescent="0.2">
      <c r="A32" s="149" t="s">
        <v>6</v>
      </c>
      <c r="B32" s="158"/>
      <c r="C32" s="148"/>
      <c r="D32" s="170"/>
      <c r="E32" s="154"/>
      <c r="F32" s="148"/>
      <c r="G32" s="148"/>
      <c r="H32" s="148"/>
      <c r="I32" s="148"/>
      <c r="J32" s="111"/>
      <c r="K32" s="111"/>
      <c r="L32" s="111"/>
      <c r="M32" s="111"/>
      <c r="N32" s="114"/>
      <c r="O32" s="154"/>
    </row>
    <row r="33" spans="1:15" x14ac:dyDescent="0.2">
      <c r="A33" s="149" t="s">
        <v>7</v>
      </c>
      <c r="B33" s="158"/>
      <c r="C33" s="148"/>
      <c r="D33" s="170"/>
      <c r="E33" s="154"/>
      <c r="F33" s="148"/>
      <c r="G33" s="148"/>
      <c r="H33" s="148"/>
      <c r="I33" s="148"/>
      <c r="J33" s="111"/>
      <c r="K33" s="111"/>
      <c r="L33" s="111"/>
      <c r="M33" s="111"/>
      <c r="N33" s="114"/>
      <c r="O33" s="154"/>
    </row>
    <row r="34" spans="1:15" x14ac:dyDescent="0.2">
      <c r="A34" s="149" t="s">
        <v>8</v>
      </c>
      <c r="B34" s="158"/>
      <c r="C34" s="148"/>
      <c r="D34" s="170"/>
      <c r="E34" s="154"/>
      <c r="F34" s="148"/>
      <c r="G34" s="148"/>
      <c r="H34" s="148"/>
      <c r="I34" s="148"/>
      <c r="J34" s="111"/>
      <c r="K34" s="111"/>
      <c r="L34" s="111"/>
      <c r="M34" s="111"/>
      <c r="N34" s="114"/>
      <c r="O34" s="154"/>
    </row>
    <row r="35" spans="1:15" x14ac:dyDescent="0.2">
      <c r="A35" s="149" t="s">
        <v>9</v>
      </c>
      <c r="B35" s="158"/>
      <c r="C35" s="148"/>
      <c r="D35" s="170"/>
      <c r="E35" s="154"/>
      <c r="F35" s="148"/>
      <c r="G35" s="148"/>
      <c r="H35" s="148"/>
      <c r="I35" s="148"/>
      <c r="J35" s="111"/>
      <c r="K35" s="111"/>
      <c r="L35" s="111"/>
      <c r="M35" s="111"/>
      <c r="N35" s="114"/>
      <c r="O35" s="154"/>
    </row>
    <row r="36" spans="1:15" x14ac:dyDescent="0.2">
      <c r="A36" s="149" t="s">
        <v>10</v>
      </c>
      <c r="B36" s="158"/>
      <c r="C36" s="148"/>
      <c r="D36" s="170"/>
      <c r="E36" s="154"/>
      <c r="F36" s="148"/>
      <c r="G36" s="148"/>
      <c r="H36" s="148"/>
      <c r="I36" s="148"/>
      <c r="J36" s="111"/>
      <c r="K36" s="111"/>
      <c r="L36" s="111"/>
      <c r="M36" s="111"/>
      <c r="N36" s="114"/>
      <c r="O36" s="154"/>
    </row>
    <row r="37" spans="1:15" x14ac:dyDescent="0.2">
      <c r="A37" s="149" t="s">
        <v>11</v>
      </c>
      <c r="B37" s="158"/>
      <c r="C37" s="148"/>
      <c r="D37" s="170"/>
      <c r="E37" s="154"/>
      <c r="F37" s="148"/>
      <c r="G37" s="148"/>
      <c r="H37" s="148"/>
      <c r="I37" s="148"/>
      <c r="J37" s="111"/>
      <c r="K37" s="111"/>
      <c r="L37" s="111"/>
      <c r="M37" s="111"/>
      <c r="N37" s="114"/>
      <c r="O37" s="154"/>
    </row>
    <row r="38" spans="1:15" x14ac:dyDescent="0.2">
      <c r="A38" s="104" t="s">
        <v>20</v>
      </c>
      <c r="B38" s="112">
        <f t="shared" ref="B38:G38" si="1">SUM(B26:B37)</f>
        <v>0</v>
      </c>
      <c r="C38" s="103">
        <f t="shared" si="1"/>
        <v>0</v>
      </c>
      <c r="D38" s="112">
        <f t="shared" si="1"/>
        <v>0</v>
      </c>
      <c r="E38" s="103">
        <f t="shared" si="1"/>
        <v>0</v>
      </c>
      <c r="F38" s="103">
        <f t="shared" si="1"/>
        <v>0</v>
      </c>
      <c r="G38" s="103">
        <f t="shared" si="1"/>
        <v>0</v>
      </c>
      <c r="H38" s="103"/>
      <c r="I38" s="103"/>
      <c r="J38" s="103"/>
      <c r="K38" s="103"/>
      <c r="L38" s="111">
        <f>J38+K38</f>
        <v>0</v>
      </c>
      <c r="M38" s="103"/>
      <c r="N38" s="103">
        <f>SUM(N26:N37)</f>
        <v>0</v>
      </c>
      <c r="O38" s="103">
        <f>SUM(O26:O37)</f>
        <v>0</v>
      </c>
    </row>
    <row r="44" spans="1:15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15" x14ac:dyDescent="0.2">
      <c r="A45" s="371"/>
      <c r="B45" s="151"/>
      <c r="C45" s="151"/>
      <c r="D45" s="151"/>
      <c r="E45" s="151"/>
      <c r="F45" s="151"/>
      <c r="G45" s="151"/>
      <c r="H45" s="155"/>
      <c r="I45" s="155"/>
      <c r="J45" s="152"/>
      <c r="K45" s="152"/>
      <c r="L45" s="152"/>
      <c r="M45" s="152"/>
      <c r="N45" s="153"/>
      <c r="O45" s="153"/>
    </row>
    <row r="46" spans="1:15" x14ac:dyDescent="0.2">
      <c r="A46" s="149"/>
      <c r="B46" s="148"/>
      <c r="C46" s="148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15" x14ac:dyDescent="0.2">
      <c r="A47" s="149"/>
      <c r="B47" s="148"/>
      <c r="C47" s="148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15" x14ac:dyDescent="0.2">
      <c r="A48" s="149"/>
      <c r="B48" s="148"/>
      <c r="C48" s="148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49"/>
      <c r="B49" s="148"/>
      <c r="C49" s="148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49"/>
      <c r="B50" s="148"/>
      <c r="C50" s="148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49"/>
      <c r="B51" s="148"/>
      <c r="C51" s="148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49"/>
      <c r="B52" s="148"/>
      <c r="C52" s="148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49"/>
      <c r="B53" s="148"/>
      <c r="C53" s="148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49"/>
      <c r="B54" s="148"/>
      <c r="C54" s="148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49"/>
      <c r="B55" s="148"/>
      <c r="C55" s="148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49"/>
      <c r="B56" s="148"/>
      <c r="C56" s="148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49"/>
      <c r="B57" s="148"/>
      <c r="C57" s="148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33">
    <mergeCell ref="N44:O44"/>
    <mergeCell ref="A44:A45"/>
    <mergeCell ref="B44:C44"/>
    <mergeCell ref="D44:E44"/>
    <mergeCell ref="F44:G44"/>
    <mergeCell ref="H44:I44"/>
    <mergeCell ref="J44:M44"/>
    <mergeCell ref="N23:O23"/>
    <mergeCell ref="B24:C24"/>
    <mergeCell ref="D24:E24"/>
    <mergeCell ref="F24:G24"/>
    <mergeCell ref="H24:I24"/>
    <mergeCell ref="J24:M24"/>
    <mergeCell ref="N24:O24"/>
    <mergeCell ref="J23:M23"/>
    <mergeCell ref="A23:A25"/>
    <mergeCell ref="B23:C23"/>
    <mergeCell ref="D23:E23"/>
    <mergeCell ref="F23:G23"/>
    <mergeCell ref="H23:I23"/>
    <mergeCell ref="J3:M3"/>
    <mergeCell ref="N3:O3"/>
    <mergeCell ref="J2:M2"/>
    <mergeCell ref="A2:A4"/>
    <mergeCell ref="B2:C2"/>
    <mergeCell ref="D2:E2"/>
    <mergeCell ref="F2:G2"/>
    <mergeCell ref="H2:I2"/>
    <mergeCell ref="N2:O2"/>
    <mergeCell ref="B3:C3"/>
    <mergeCell ref="D3:E3"/>
    <mergeCell ref="F3:G3"/>
    <mergeCell ref="H3:I3"/>
  </mergeCells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9A481-777E-41F6-94F4-CC8CA85277B4}">
  <sheetPr>
    <tabColor theme="0"/>
  </sheetPr>
  <dimension ref="A1:Q58"/>
  <sheetViews>
    <sheetView topLeftCell="A28" workbookViewId="0">
      <selection activeCell="A44" sqref="A44:O59"/>
    </sheetView>
  </sheetViews>
  <sheetFormatPr defaultRowHeight="12.75" x14ac:dyDescent="0.2"/>
  <cols>
    <col min="1" max="1" width="12.7109375" style="161" customWidth="1"/>
    <col min="2" max="9" width="11.7109375" style="161" customWidth="1"/>
    <col min="10" max="13" width="11.7109375" customWidth="1"/>
    <col min="14" max="16" width="11.7109375" style="161" customWidth="1"/>
    <col min="17" max="17" width="12.7109375" style="161" customWidth="1"/>
    <col min="18" max="16384" width="9.140625" style="161"/>
  </cols>
  <sheetData>
    <row r="1" spans="1:17" ht="15" x14ac:dyDescent="0.2">
      <c r="A1" s="165" t="s">
        <v>217</v>
      </c>
      <c r="B1" s="163"/>
      <c r="C1" s="163"/>
      <c r="D1" s="164"/>
      <c r="E1" s="164"/>
      <c r="F1" s="164"/>
      <c r="G1" s="164"/>
      <c r="H1" s="164"/>
      <c r="I1" s="164"/>
      <c r="J1" s="15"/>
      <c r="K1" s="15"/>
      <c r="L1" s="15"/>
      <c r="M1" s="15"/>
      <c r="N1" s="164"/>
      <c r="O1" s="173" t="s">
        <v>33</v>
      </c>
    </row>
    <row r="2" spans="1:17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54"/>
      <c r="I2" s="350"/>
      <c r="J2" s="414" t="s">
        <v>154</v>
      </c>
      <c r="K2" s="356"/>
      <c r="L2" s="356"/>
      <c r="M2" s="357"/>
      <c r="N2" s="362" t="s">
        <v>78</v>
      </c>
      <c r="O2" s="362"/>
      <c r="P2" s="362" t="s">
        <v>77</v>
      </c>
      <c r="Q2" s="362"/>
    </row>
    <row r="3" spans="1:17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29</v>
      </c>
      <c r="I3" s="350"/>
      <c r="J3" s="355" t="s">
        <v>14</v>
      </c>
      <c r="K3" s="356"/>
      <c r="L3" s="356"/>
      <c r="M3" s="357"/>
      <c r="N3" s="361" t="s">
        <v>62</v>
      </c>
      <c r="O3" s="361"/>
      <c r="P3" s="361" t="s">
        <v>63</v>
      </c>
      <c r="Q3" s="361"/>
    </row>
    <row r="4" spans="1:17" ht="14.25" customHeight="1" x14ac:dyDescent="0.2">
      <c r="A4" s="368"/>
      <c r="B4" s="159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5" t="s">
        <v>18</v>
      </c>
      <c r="I4" s="155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  <c r="P4" s="153" t="s">
        <v>23</v>
      </c>
      <c r="Q4" s="153" t="s">
        <v>24</v>
      </c>
    </row>
    <row r="5" spans="1:17" x14ac:dyDescent="0.2">
      <c r="A5" s="149" t="s">
        <v>0</v>
      </c>
      <c r="B5" s="158"/>
      <c r="C5" s="148"/>
      <c r="D5" s="259">
        <v>56.3</v>
      </c>
      <c r="E5" s="260">
        <f>D5*550.15</f>
        <v>30973.444999999996</v>
      </c>
      <c r="F5" s="148"/>
      <c r="G5" s="148"/>
      <c r="H5" s="148"/>
      <c r="I5" s="148"/>
      <c r="J5" s="449">
        <v>9286.2999999999993</v>
      </c>
      <c r="K5" s="449">
        <v>5654.2</v>
      </c>
      <c r="L5" s="449">
        <f>J5+K5</f>
        <v>14940.5</v>
      </c>
      <c r="M5" s="449">
        <v>39506.639999999999</v>
      </c>
      <c r="N5" s="471">
        <v>398</v>
      </c>
      <c r="O5" s="386">
        <v>14407.6</v>
      </c>
      <c r="P5" s="471">
        <v>398</v>
      </c>
      <c r="Q5" s="386">
        <v>12632.52</v>
      </c>
    </row>
    <row r="6" spans="1:17" x14ac:dyDescent="0.2">
      <c r="A6" s="149" t="s">
        <v>1</v>
      </c>
      <c r="B6" s="158"/>
      <c r="C6" s="148"/>
      <c r="D6" s="261">
        <f>15+21</f>
        <v>36</v>
      </c>
      <c r="E6" s="260">
        <f t="shared" ref="E6:E16" si="0">D6*550.15</f>
        <v>19805.399999999998</v>
      </c>
      <c r="F6" s="148"/>
      <c r="G6" s="148"/>
      <c r="H6" s="148"/>
      <c r="I6" s="148"/>
      <c r="J6" s="450"/>
      <c r="K6" s="450"/>
      <c r="L6" s="450"/>
      <c r="M6" s="450"/>
      <c r="N6" s="472"/>
      <c r="O6" s="387"/>
      <c r="P6" s="472"/>
      <c r="Q6" s="387"/>
    </row>
    <row r="7" spans="1:17" x14ac:dyDescent="0.2">
      <c r="A7" s="149" t="s">
        <v>2</v>
      </c>
      <c r="B7" s="158"/>
      <c r="C7" s="148"/>
      <c r="D7" s="261">
        <v>31</v>
      </c>
      <c r="E7" s="260">
        <f t="shared" si="0"/>
        <v>17054.649999999998</v>
      </c>
      <c r="F7" s="148"/>
      <c r="G7" s="148"/>
      <c r="H7" s="148"/>
      <c r="I7" s="148"/>
      <c r="J7" s="451"/>
      <c r="K7" s="451"/>
      <c r="L7" s="451"/>
      <c r="M7" s="451"/>
      <c r="N7" s="472"/>
      <c r="O7" s="387"/>
      <c r="P7" s="472"/>
      <c r="Q7" s="387"/>
    </row>
    <row r="8" spans="1:17" x14ac:dyDescent="0.2">
      <c r="A8" s="149" t="s">
        <v>3</v>
      </c>
      <c r="B8" s="158"/>
      <c r="C8" s="148"/>
      <c r="D8" s="261">
        <v>23</v>
      </c>
      <c r="E8" s="260">
        <f t="shared" si="0"/>
        <v>12653.449999999999</v>
      </c>
      <c r="F8" s="148"/>
      <c r="G8" s="148"/>
      <c r="H8" s="148"/>
      <c r="I8" s="148"/>
      <c r="J8" s="449">
        <v>28847.4</v>
      </c>
      <c r="K8" s="449">
        <v>10988.2</v>
      </c>
      <c r="L8" s="449">
        <f>J8+K8</f>
        <v>39835.600000000006</v>
      </c>
      <c r="M8" s="449">
        <v>103952.99</v>
      </c>
      <c r="N8" s="472"/>
      <c r="O8" s="387"/>
      <c r="P8" s="472"/>
      <c r="Q8" s="387"/>
    </row>
    <row r="9" spans="1:17" x14ac:dyDescent="0.2">
      <c r="A9" s="149" t="s">
        <v>4</v>
      </c>
      <c r="B9" s="158"/>
      <c r="C9" s="148"/>
      <c r="D9" s="261">
        <v>19</v>
      </c>
      <c r="E9" s="260">
        <f t="shared" si="0"/>
        <v>10452.85</v>
      </c>
      <c r="F9" s="148"/>
      <c r="G9" s="148"/>
      <c r="H9" s="148"/>
      <c r="I9" s="148"/>
      <c r="J9" s="450"/>
      <c r="K9" s="450"/>
      <c r="L9" s="450"/>
      <c r="M9" s="450"/>
      <c r="N9" s="472"/>
      <c r="O9" s="387"/>
      <c r="P9" s="472"/>
      <c r="Q9" s="387"/>
    </row>
    <row r="10" spans="1:17" x14ac:dyDescent="0.2">
      <c r="A10" s="149" t="s">
        <v>5</v>
      </c>
      <c r="B10" s="158"/>
      <c r="C10" s="148"/>
      <c r="D10" s="261"/>
      <c r="E10" s="260"/>
      <c r="F10" s="148"/>
      <c r="G10" s="148"/>
      <c r="H10" s="148"/>
      <c r="I10" s="148"/>
      <c r="J10" s="450"/>
      <c r="K10" s="450"/>
      <c r="L10" s="450"/>
      <c r="M10" s="450"/>
      <c r="N10" s="472"/>
      <c r="O10" s="387"/>
      <c r="P10" s="472"/>
      <c r="Q10" s="387"/>
    </row>
    <row r="11" spans="1:17" x14ac:dyDescent="0.2">
      <c r="A11" s="149" t="s">
        <v>6</v>
      </c>
      <c r="B11" s="158"/>
      <c r="C11" s="148"/>
      <c r="D11" s="261"/>
      <c r="E11" s="260"/>
      <c r="F11" s="148"/>
      <c r="G11" s="148"/>
      <c r="H11" s="148"/>
      <c r="I11" s="148"/>
      <c r="J11" s="450"/>
      <c r="K11" s="450"/>
      <c r="L11" s="450"/>
      <c r="M11" s="450"/>
      <c r="N11" s="472"/>
      <c r="O11" s="387"/>
      <c r="P11" s="472"/>
      <c r="Q11" s="387"/>
    </row>
    <row r="12" spans="1:17" x14ac:dyDescent="0.2">
      <c r="A12" s="149" t="s">
        <v>7</v>
      </c>
      <c r="B12" s="158"/>
      <c r="C12" s="148"/>
      <c r="D12" s="261"/>
      <c r="E12" s="260"/>
      <c r="F12" s="148"/>
      <c r="G12" s="148"/>
      <c r="H12" s="148"/>
      <c r="I12" s="148"/>
      <c r="J12" s="450"/>
      <c r="K12" s="450"/>
      <c r="L12" s="450"/>
      <c r="M12" s="450"/>
      <c r="N12" s="472"/>
      <c r="O12" s="387"/>
      <c r="P12" s="472"/>
      <c r="Q12" s="387"/>
    </row>
    <row r="13" spans="1:17" x14ac:dyDescent="0.2">
      <c r="A13" s="149" t="s">
        <v>8</v>
      </c>
      <c r="B13" s="158"/>
      <c r="C13" s="148"/>
      <c r="D13" s="261"/>
      <c r="E13" s="260"/>
      <c r="F13" s="148"/>
      <c r="G13" s="148"/>
      <c r="H13" s="148"/>
      <c r="I13" s="148"/>
      <c r="J13" s="450"/>
      <c r="K13" s="450"/>
      <c r="L13" s="450"/>
      <c r="M13" s="450"/>
      <c r="N13" s="472"/>
      <c r="O13" s="387"/>
      <c r="P13" s="472"/>
      <c r="Q13" s="387"/>
    </row>
    <row r="14" spans="1:17" x14ac:dyDescent="0.2">
      <c r="A14" s="149" t="s">
        <v>9</v>
      </c>
      <c r="B14" s="158"/>
      <c r="C14" s="148"/>
      <c r="D14" s="261">
        <v>19</v>
      </c>
      <c r="E14" s="260">
        <f t="shared" si="0"/>
        <v>10452.85</v>
      </c>
      <c r="F14" s="148"/>
      <c r="G14" s="148"/>
      <c r="H14" s="148"/>
      <c r="I14" s="148"/>
      <c r="J14" s="450"/>
      <c r="K14" s="450"/>
      <c r="L14" s="450"/>
      <c r="M14" s="450"/>
      <c r="N14" s="472"/>
      <c r="O14" s="387"/>
      <c r="P14" s="472"/>
      <c r="Q14" s="387"/>
    </row>
    <row r="15" spans="1:17" x14ac:dyDescent="0.2">
      <c r="A15" s="149" t="s">
        <v>10</v>
      </c>
      <c r="B15" s="158"/>
      <c r="C15" s="148"/>
      <c r="D15" s="261">
        <v>39</v>
      </c>
      <c r="E15" s="260">
        <f t="shared" si="0"/>
        <v>21455.85</v>
      </c>
      <c r="F15" s="148"/>
      <c r="G15" s="148"/>
      <c r="H15" s="148"/>
      <c r="I15" s="148"/>
      <c r="J15" s="450"/>
      <c r="K15" s="450"/>
      <c r="L15" s="450"/>
      <c r="M15" s="450"/>
      <c r="N15" s="472"/>
      <c r="O15" s="387"/>
      <c r="P15" s="472"/>
      <c r="Q15" s="387"/>
    </row>
    <row r="16" spans="1:17" x14ac:dyDescent="0.2">
      <c r="A16" s="149" t="s">
        <v>11</v>
      </c>
      <c r="B16" s="158"/>
      <c r="C16" s="148"/>
      <c r="D16" s="261">
        <v>44</v>
      </c>
      <c r="E16" s="260">
        <f t="shared" si="0"/>
        <v>24206.6</v>
      </c>
      <c r="F16" s="148"/>
      <c r="G16" s="148"/>
      <c r="H16" s="148"/>
      <c r="I16" s="148"/>
      <c r="J16" s="451"/>
      <c r="K16" s="451"/>
      <c r="L16" s="451"/>
      <c r="M16" s="451"/>
      <c r="N16" s="473"/>
      <c r="O16" s="388"/>
      <c r="P16" s="473"/>
      <c r="Q16" s="388"/>
    </row>
    <row r="17" spans="1:17" x14ac:dyDescent="0.2">
      <c r="A17" s="104" t="s">
        <v>20</v>
      </c>
      <c r="B17" s="112">
        <f t="shared" ref="B17:G17" si="1">SUM(B5:B16)</f>
        <v>0</v>
      </c>
      <c r="C17" s="103">
        <f t="shared" si="1"/>
        <v>0</v>
      </c>
      <c r="D17" s="258">
        <f t="shared" si="1"/>
        <v>267.3</v>
      </c>
      <c r="E17" s="258">
        <f t="shared" si="1"/>
        <v>147055.095</v>
      </c>
      <c r="F17" s="103">
        <f t="shared" si="1"/>
        <v>0</v>
      </c>
      <c r="G17" s="103">
        <f t="shared" si="1"/>
        <v>0</v>
      </c>
      <c r="H17" s="103"/>
      <c r="I17" s="103"/>
      <c r="J17" s="103">
        <f>SUM(J5:J16)</f>
        <v>38133.699999999997</v>
      </c>
      <c r="K17" s="103">
        <f t="shared" ref="K17:M17" si="2">SUM(K5:K16)</f>
        <v>16642.400000000001</v>
      </c>
      <c r="L17" s="103">
        <f t="shared" si="2"/>
        <v>54776.100000000006</v>
      </c>
      <c r="M17" s="103">
        <f t="shared" si="2"/>
        <v>143459.63</v>
      </c>
      <c r="N17" s="103">
        <f>SUM(N5:N15)</f>
        <v>398</v>
      </c>
      <c r="O17" s="103">
        <f>SUM(O5:O15)</f>
        <v>14407.6</v>
      </c>
      <c r="P17" s="103">
        <f>SUM(P5:P15)</f>
        <v>398</v>
      </c>
      <c r="Q17" s="103">
        <f>SUM(Q5:Q15)</f>
        <v>12632.52</v>
      </c>
    </row>
    <row r="18" spans="1:17" x14ac:dyDescent="0.2">
      <c r="A18" s="162"/>
      <c r="B18" s="162"/>
      <c r="C18" s="162"/>
      <c r="D18" s="162"/>
      <c r="E18" s="166"/>
      <c r="F18" s="171"/>
      <c r="G18" s="172"/>
      <c r="H18" s="171"/>
      <c r="I18" s="172"/>
      <c r="J18" s="211" t="s">
        <v>155</v>
      </c>
      <c r="K18" s="212"/>
      <c r="L18" s="29"/>
      <c r="M18" s="32"/>
      <c r="N18" s="120" t="s">
        <v>64</v>
      </c>
      <c r="O18" s="168"/>
      <c r="P18" s="120" t="s">
        <v>64</v>
      </c>
    </row>
    <row r="19" spans="1:17" x14ac:dyDescent="0.2">
      <c r="A19" s="162"/>
      <c r="B19" s="162"/>
      <c r="C19" s="162"/>
      <c r="D19" s="162"/>
      <c r="E19" s="162"/>
      <c r="F19" s="162"/>
      <c r="G19" s="162"/>
      <c r="H19" s="162"/>
      <c r="I19" s="162"/>
      <c r="J19" s="142" t="s">
        <v>67</v>
      </c>
      <c r="K19" s="1"/>
      <c r="L19" s="1"/>
      <c r="M19" s="1"/>
      <c r="N19" s="162" t="s">
        <v>65</v>
      </c>
      <c r="O19" s="162"/>
      <c r="P19" s="162" t="s">
        <v>65</v>
      </c>
    </row>
    <row r="20" spans="1:17" x14ac:dyDescent="0.2">
      <c r="J20" s="142" t="s">
        <v>73</v>
      </c>
    </row>
    <row r="21" spans="1:17" x14ac:dyDescent="0.2">
      <c r="J21" s="142" t="s">
        <v>74</v>
      </c>
    </row>
    <row r="23" spans="1:17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414" t="s">
        <v>154</v>
      </c>
      <c r="K23" s="417"/>
      <c r="L23" s="417"/>
      <c r="M23" s="418"/>
      <c r="N23" s="362" t="s">
        <v>78</v>
      </c>
      <c r="O23" s="362"/>
      <c r="P23" s="362" t="s">
        <v>77</v>
      </c>
      <c r="Q23" s="362"/>
    </row>
    <row r="24" spans="1:17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62</v>
      </c>
      <c r="O24" s="361"/>
      <c r="P24" s="361" t="s">
        <v>63</v>
      </c>
      <c r="Q24" s="361"/>
    </row>
    <row r="25" spans="1:17" ht="14.25" x14ac:dyDescent="0.2">
      <c r="A25" s="368"/>
      <c r="B25" s="159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5" t="s">
        <v>18</v>
      </c>
      <c r="I25" s="155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17</v>
      </c>
      <c r="P25" s="153" t="s">
        <v>23</v>
      </c>
      <c r="Q25" s="153" t="s">
        <v>17</v>
      </c>
    </row>
    <row r="26" spans="1:17" x14ac:dyDescent="0.2">
      <c r="A26" s="149" t="s">
        <v>0</v>
      </c>
      <c r="B26" s="158"/>
      <c r="C26" s="148"/>
      <c r="D26" s="169"/>
      <c r="E26" s="154"/>
      <c r="F26" s="148"/>
      <c r="G26" s="148"/>
      <c r="H26" s="148"/>
      <c r="I26" s="148"/>
      <c r="J26" s="449">
        <v>10826.6</v>
      </c>
      <c r="K26" s="449">
        <v>5625.8</v>
      </c>
      <c r="L26" s="449">
        <f>J26+K26</f>
        <v>16452.400000000001</v>
      </c>
      <c r="M26" s="449">
        <v>41417.54</v>
      </c>
      <c r="N26" s="425">
        <v>110</v>
      </c>
      <c r="O26" s="425">
        <v>4455</v>
      </c>
      <c r="P26" s="425">
        <v>110</v>
      </c>
      <c r="Q26" s="425">
        <v>3847.8</v>
      </c>
    </row>
    <row r="27" spans="1:17" x14ac:dyDescent="0.2">
      <c r="A27" s="149" t="s">
        <v>1</v>
      </c>
      <c r="B27" s="158"/>
      <c r="C27" s="148"/>
      <c r="D27" s="170"/>
      <c r="E27" s="154"/>
      <c r="F27" s="148"/>
      <c r="G27" s="148"/>
      <c r="H27" s="148"/>
      <c r="I27" s="148"/>
      <c r="J27" s="450"/>
      <c r="K27" s="450"/>
      <c r="L27" s="450"/>
      <c r="M27" s="450"/>
      <c r="N27" s="426"/>
      <c r="O27" s="426"/>
      <c r="P27" s="426"/>
      <c r="Q27" s="426"/>
    </row>
    <row r="28" spans="1:17" x14ac:dyDescent="0.2">
      <c r="A28" s="149" t="s">
        <v>2</v>
      </c>
      <c r="B28" s="158"/>
      <c r="C28" s="148"/>
      <c r="D28" s="170"/>
      <c r="E28" s="154"/>
      <c r="F28" s="148"/>
      <c r="G28" s="148"/>
      <c r="H28" s="148"/>
      <c r="I28" s="148"/>
      <c r="J28" s="451"/>
      <c r="K28" s="451"/>
      <c r="L28" s="451"/>
      <c r="M28" s="451"/>
      <c r="N28" s="426"/>
      <c r="O28" s="426"/>
      <c r="P28" s="426"/>
      <c r="Q28" s="426"/>
    </row>
    <row r="29" spans="1:17" x14ac:dyDescent="0.2">
      <c r="A29" s="149" t="s">
        <v>3</v>
      </c>
      <c r="B29" s="158"/>
      <c r="C29" s="148"/>
      <c r="D29" s="170"/>
      <c r="E29" s="154"/>
      <c r="F29" s="148"/>
      <c r="G29" s="148"/>
      <c r="H29" s="148"/>
      <c r="I29" s="148"/>
      <c r="J29" s="26"/>
      <c r="K29" s="26"/>
      <c r="L29" s="26"/>
      <c r="M29" s="26"/>
      <c r="N29" s="427"/>
      <c r="O29" s="427"/>
      <c r="P29" s="427"/>
      <c r="Q29" s="427"/>
    </row>
    <row r="30" spans="1:17" x14ac:dyDescent="0.2">
      <c r="A30" s="149" t="s">
        <v>4</v>
      </c>
      <c r="B30" s="158"/>
      <c r="C30" s="148"/>
      <c r="D30" s="170"/>
      <c r="E30" s="154"/>
      <c r="F30" s="148"/>
      <c r="G30" s="148"/>
      <c r="H30" s="148"/>
      <c r="I30" s="148"/>
      <c r="J30" s="26"/>
      <c r="K30" s="26"/>
      <c r="L30" s="26"/>
      <c r="M30" s="26"/>
      <c r="N30" s="425">
        <v>259</v>
      </c>
      <c r="O30" s="425">
        <v>10489.5</v>
      </c>
      <c r="P30" s="425">
        <v>259</v>
      </c>
      <c r="Q30" s="425">
        <v>9059.82</v>
      </c>
    </row>
    <row r="31" spans="1:17" x14ac:dyDescent="0.2">
      <c r="A31" s="149" t="s">
        <v>5</v>
      </c>
      <c r="B31" s="158"/>
      <c r="C31" s="148"/>
      <c r="D31" s="170"/>
      <c r="E31" s="154"/>
      <c r="F31" s="148"/>
      <c r="G31" s="148"/>
      <c r="H31" s="148"/>
      <c r="I31" s="148"/>
      <c r="J31" s="26"/>
      <c r="K31" s="26"/>
      <c r="L31" s="26"/>
      <c r="M31" s="26"/>
      <c r="N31" s="426"/>
      <c r="O31" s="426"/>
      <c r="P31" s="426"/>
      <c r="Q31" s="426"/>
    </row>
    <row r="32" spans="1:17" x14ac:dyDescent="0.2">
      <c r="A32" s="149" t="s">
        <v>6</v>
      </c>
      <c r="B32" s="158"/>
      <c r="C32" s="148"/>
      <c r="D32" s="170"/>
      <c r="E32" s="154"/>
      <c r="F32" s="148"/>
      <c r="G32" s="148"/>
      <c r="H32" s="148"/>
      <c r="I32" s="148"/>
      <c r="J32" s="26"/>
      <c r="K32" s="26"/>
      <c r="L32" s="26"/>
      <c r="M32" s="26"/>
      <c r="N32" s="426"/>
      <c r="O32" s="426"/>
      <c r="P32" s="426"/>
      <c r="Q32" s="426"/>
    </row>
    <row r="33" spans="1:17" x14ac:dyDescent="0.2">
      <c r="A33" s="149" t="s">
        <v>7</v>
      </c>
      <c r="B33" s="158"/>
      <c r="C33" s="148"/>
      <c r="D33" s="170"/>
      <c r="E33" s="154"/>
      <c r="F33" s="148"/>
      <c r="G33" s="148"/>
      <c r="H33" s="148"/>
      <c r="I33" s="148"/>
      <c r="J33" s="26"/>
      <c r="K33" s="26"/>
      <c r="L33" s="26"/>
      <c r="M33" s="26"/>
      <c r="N33" s="426"/>
      <c r="O33" s="426"/>
      <c r="P33" s="426"/>
      <c r="Q33" s="426"/>
    </row>
    <row r="34" spans="1:17" x14ac:dyDescent="0.2">
      <c r="A34" s="149" t="s">
        <v>8</v>
      </c>
      <c r="B34" s="158"/>
      <c r="C34" s="148"/>
      <c r="D34" s="170"/>
      <c r="E34" s="154"/>
      <c r="F34" s="148"/>
      <c r="G34" s="148"/>
      <c r="H34" s="148"/>
      <c r="I34" s="148"/>
      <c r="J34" s="26"/>
      <c r="K34" s="26"/>
      <c r="L34" s="26"/>
      <c r="M34" s="26"/>
      <c r="N34" s="426"/>
      <c r="O34" s="426"/>
      <c r="P34" s="426"/>
      <c r="Q34" s="426"/>
    </row>
    <row r="35" spans="1:17" x14ac:dyDescent="0.2">
      <c r="A35" s="149" t="s">
        <v>9</v>
      </c>
      <c r="B35" s="158"/>
      <c r="C35" s="148"/>
      <c r="D35" s="170"/>
      <c r="E35" s="154"/>
      <c r="F35" s="148"/>
      <c r="G35" s="148"/>
      <c r="H35" s="148"/>
      <c r="I35" s="148"/>
      <c r="J35" s="26"/>
      <c r="K35" s="26"/>
      <c r="L35" s="26"/>
      <c r="M35" s="26"/>
      <c r="N35" s="426"/>
      <c r="O35" s="426"/>
      <c r="P35" s="426"/>
      <c r="Q35" s="426"/>
    </row>
    <row r="36" spans="1:17" x14ac:dyDescent="0.2">
      <c r="A36" s="149" t="s">
        <v>10</v>
      </c>
      <c r="B36" s="158"/>
      <c r="C36" s="148"/>
      <c r="D36" s="170"/>
      <c r="E36" s="154"/>
      <c r="F36" s="148"/>
      <c r="G36" s="148"/>
      <c r="H36" s="148"/>
      <c r="I36" s="148"/>
      <c r="J36" s="26"/>
      <c r="K36" s="26"/>
      <c r="L36" s="26"/>
      <c r="M36" s="26"/>
      <c r="N36" s="426"/>
      <c r="O36" s="426"/>
      <c r="P36" s="426"/>
      <c r="Q36" s="426"/>
    </row>
    <row r="37" spans="1:17" x14ac:dyDescent="0.2">
      <c r="A37" s="149" t="s">
        <v>11</v>
      </c>
      <c r="B37" s="158"/>
      <c r="C37" s="148"/>
      <c r="D37" s="170"/>
      <c r="E37" s="154"/>
      <c r="F37" s="148"/>
      <c r="G37" s="148"/>
      <c r="H37" s="148"/>
      <c r="I37" s="148"/>
      <c r="J37" s="26"/>
      <c r="K37" s="26"/>
      <c r="L37" s="26"/>
      <c r="M37" s="26"/>
      <c r="N37" s="427"/>
      <c r="O37" s="427"/>
      <c r="P37" s="427"/>
      <c r="Q37" s="427"/>
    </row>
    <row r="38" spans="1:17" x14ac:dyDescent="0.2">
      <c r="A38" s="104" t="s">
        <v>20</v>
      </c>
      <c r="B38" s="112">
        <f t="shared" ref="B38:G38" si="3">SUM(B26:B37)</f>
        <v>0</v>
      </c>
      <c r="C38" s="103">
        <f t="shared" si="3"/>
        <v>0</v>
      </c>
      <c r="D38" s="112">
        <f t="shared" si="3"/>
        <v>0</v>
      </c>
      <c r="E38" s="103">
        <f t="shared" si="3"/>
        <v>0</v>
      </c>
      <c r="F38" s="103">
        <f t="shared" si="3"/>
        <v>0</v>
      </c>
      <c r="G38" s="103">
        <f t="shared" si="3"/>
        <v>0</v>
      </c>
      <c r="H38" s="103"/>
      <c r="I38" s="103"/>
      <c r="J38" s="103">
        <f>SUM(J26:J37)</f>
        <v>10826.6</v>
      </c>
      <c r="K38" s="103">
        <f t="shared" ref="K38:M38" si="4">SUM(K26:K37)</f>
        <v>5625.8</v>
      </c>
      <c r="L38" s="103">
        <f t="shared" si="4"/>
        <v>16452.400000000001</v>
      </c>
      <c r="M38" s="103">
        <f t="shared" si="4"/>
        <v>41417.54</v>
      </c>
      <c r="N38" s="103">
        <f>SUM(N26:N36)</f>
        <v>369</v>
      </c>
      <c r="O38" s="103">
        <f>SUM(O26:O36)</f>
        <v>14944.5</v>
      </c>
      <c r="P38" s="103">
        <f>SUM(P26:P36)</f>
        <v>369</v>
      </c>
      <c r="Q38" s="103">
        <f>SUM(Q26:Q36)</f>
        <v>12907.619999999999</v>
      </c>
    </row>
    <row r="39" spans="1:17" x14ac:dyDescent="0.2">
      <c r="J39" s="142" t="s">
        <v>67</v>
      </c>
      <c r="N39" s="120" t="s">
        <v>67</v>
      </c>
      <c r="O39" s="168"/>
      <c r="P39" s="120" t="s">
        <v>67</v>
      </c>
      <c r="Q39" s="168"/>
    </row>
    <row r="40" spans="1:17" x14ac:dyDescent="0.2">
      <c r="J40" s="142" t="s">
        <v>130</v>
      </c>
      <c r="N40" s="137" t="s">
        <v>68</v>
      </c>
      <c r="O40" s="162"/>
      <c r="P40" s="137" t="s">
        <v>68</v>
      </c>
      <c r="Q40" s="162"/>
    </row>
    <row r="41" spans="1:17" x14ac:dyDescent="0.2">
      <c r="N41" s="138" t="s">
        <v>69</v>
      </c>
      <c r="P41" s="138" t="s">
        <v>69</v>
      </c>
    </row>
    <row r="44" spans="1:17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17" x14ac:dyDescent="0.2">
      <c r="A45" s="371"/>
      <c r="B45" s="151"/>
      <c r="C45" s="151"/>
      <c r="D45" s="151"/>
      <c r="E45" s="151"/>
      <c r="F45" s="151"/>
      <c r="G45" s="151"/>
      <c r="H45" s="155"/>
      <c r="I45" s="155"/>
      <c r="J45" s="152"/>
      <c r="K45" s="152"/>
      <c r="L45" s="152"/>
      <c r="M45" s="152"/>
      <c r="N45" s="153"/>
      <c r="O45" s="153"/>
    </row>
    <row r="46" spans="1:17" x14ac:dyDescent="0.2">
      <c r="A46" s="149"/>
      <c r="B46" s="148"/>
      <c r="C46" s="148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17" x14ac:dyDescent="0.2">
      <c r="A47" s="149"/>
      <c r="B47" s="148"/>
      <c r="C47" s="148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17" x14ac:dyDescent="0.2">
      <c r="A48" s="149"/>
      <c r="B48" s="148"/>
      <c r="C48" s="148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49"/>
      <c r="B49" s="148"/>
      <c r="C49" s="148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49"/>
      <c r="B50" s="148"/>
      <c r="C50" s="148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49"/>
      <c r="B51" s="148"/>
      <c r="C51" s="148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49"/>
      <c r="B52" s="148"/>
      <c r="C52" s="148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49"/>
      <c r="B53" s="148"/>
      <c r="C53" s="148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49"/>
      <c r="B54" s="148"/>
      <c r="C54" s="148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49"/>
      <c r="B55" s="148"/>
      <c r="C55" s="148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49"/>
      <c r="B56" s="148"/>
      <c r="C56" s="148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49"/>
      <c r="B57" s="148"/>
      <c r="C57" s="148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61">
    <mergeCell ref="N2:O2"/>
    <mergeCell ref="N3:O3"/>
    <mergeCell ref="N30:N37"/>
    <mergeCell ref="O30:O37"/>
    <mergeCell ref="P30:P37"/>
    <mergeCell ref="P26:P29"/>
    <mergeCell ref="P2:Q2"/>
    <mergeCell ref="P3:Q3"/>
    <mergeCell ref="P5:P16"/>
    <mergeCell ref="Q5:Q16"/>
    <mergeCell ref="J44:M44"/>
    <mergeCell ref="Q30:Q37"/>
    <mergeCell ref="N5:N16"/>
    <mergeCell ref="O5:O16"/>
    <mergeCell ref="P23:Q23"/>
    <mergeCell ref="P24:Q24"/>
    <mergeCell ref="N26:N29"/>
    <mergeCell ref="N23:O23"/>
    <mergeCell ref="N44:O44"/>
    <mergeCell ref="Q26:Q29"/>
    <mergeCell ref="O26:O29"/>
    <mergeCell ref="J26:J28"/>
    <mergeCell ref="K26:K28"/>
    <mergeCell ref="L26:L28"/>
    <mergeCell ref="J24:M24"/>
    <mergeCell ref="N24:O24"/>
    <mergeCell ref="A44:A45"/>
    <mergeCell ref="B44:C44"/>
    <mergeCell ref="D44:E44"/>
    <mergeCell ref="F44:G44"/>
    <mergeCell ref="H44:I4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J2:M2"/>
    <mergeCell ref="A2:A4"/>
    <mergeCell ref="B2:C2"/>
    <mergeCell ref="D2:E2"/>
    <mergeCell ref="F2:G2"/>
    <mergeCell ref="H2:I2"/>
    <mergeCell ref="B3:C3"/>
    <mergeCell ref="D3:E3"/>
    <mergeCell ref="F3:G3"/>
    <mergeCell ref="H3:I3"/>
    <mergeCell ref="M26:M28"/>
    <mergeCell ref="J3:M3"/>
    <mergeCell ref="J5:J7"/>
    <mergeCell ref="K5:K7"/>
    <mergeCell ref="L5:L7"/>
    <mergeCell ref="M5:M7"/>
    <mergeCell ref="J8:J16"/>
    <mergeCell ref="K8:K16"/>
    <mergeCell ref="L8:L16"/>
    <mergeCell ref="M8:M16"/>
    <mergeCell ref="J23:M23"/>
  </mergeCell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B74F2-B6C6-411C-BA9D-715DC1336ACB}">
  <sheetPr>
    <tabColor theme="0"/>
  </sheetPr>
  <dimension ref="A1:S58"/>
  <sheetViews>
    <sheetView topLeftCell="A22" workbookViewId="0">
      <selection activeCell="A44" sqref="A44:Q58"/>
    </sheetView>
  </sheetViews>
  <sheetFormatPr defaultRowHeight="12.75" x14ac:dyDescent="0.2"/>
  <cols>
    <col min="1" max="1" width="12.7109375" customWidth="1"/>
    <col min="2" max="7" width="11.7109375" hidden="1" customWidth="1"/>
    <col min="8" max="14" width="11.7109375" customWidth="1"/>
    <col min="15" max="15" width="18.140625" customWidth="1"/>
    <col min="16" max="17" width="11.7109375" customWidth="1"/>
  </cols>
  <sheetData>
    <row r="1" spans="1:19" ht="15" x14ac:dyDescent="0.2">
      <c r="A1" s="21" t="s">
        <v>171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57" t="s">
        <v>33</v>
      </c>
      <c r="R1" s="15"/>
      <c r="S1" s="57"/>
    </row>
    <row r="2" spans="1:19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304"/>
      <c r="L2" s="305"/>
      <c r="M2" s="305"/>
      <c r="N2" s="306"/>
      <c r="O2" s="60"/>
      <c r="P2" s="322"/>
      <c r="Q2" s="322"/>
      <c r="R2" s="322"/>
      <c r="S2" s="322"/>
    </row>
    <row r="3" spans="1:19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52</v>
      </c>
      <c r="K3" s="304" t="s">
        <v>14</v>
      </c>
      <c r="L3" s="305"/>
      <c r="M3" s="305"/>
      <c r="N3" s="306"/>
      <c r="O3" s="60" t="s">
        <v>52</v>
      </c>
      <c r="P3" s="322" t="s">
        <v>50</v>
      </c>
      <c r="Q3" s="322"/>
      <c r="R3" s="322" t="s">
        <v>51</v>
      </c>
      <c r="S3" s="322"/>
    </row>
    <row r="4" spans="1:19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8" t="s">
        <v>35</v>
      </c>
      <c r="L4" s="8" t="s">
        <v>36</v>
      </c>
      <c r="M4" s="8" t="s">
        <v>37</v>
      </c>
      <c r="N4" s="8" t="s">
        <v>17</v>
      </c>
      <c r="O4" s="8"/>
      <c r="P4" s="9" t="s">
        <v>23</v>
      </c>
      <c r="Q4" s="9" t="s">
        <v>24</v>
      </c>
      <c r="R4" s="9" t="s">
        <v>23</v>
      </c>
      <c r="S4" s="9" t="s">
        <v>24</v>
      </c>
    </row>
    <row r="5" spans="1:19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59">
        <v>16006.87</v>
      </c>
      <c r="I5" s="259">
        <v>11707.5</v>
      </c>
      <c r="J5" s="72"/>
      <c r="K5" s="293">
        <v>1828</v>
      </c>
      <c r="L5" s="293">
        <v>243</v>
      </c>
      <c r="M5" s="293">
        <f>K5+L5</f>
        <v>2071</v>
      </c>
      <c r="N5" s="293">
        <v>7521.63</v>
      </c>
      <c r="O5" s="83"/>
      <c r="P5" s="326">
        <v>179</v>
      </c>
      <c r="Q5" s="329">
        <f>P5*36.2</f>
        <v>6479.8</v>
      </c>
      <c r="R5" s="326">
        <v>179</v>
      </c>
      <c r="S5" s="329">
        <f>R5*31.74</f>
        <v>5681.46</v>
      </c>
    </row>
    <row r="6" spans="1:19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59">
        <f>5397.54+4719.15</f>
        <v>10116.689999999999</v>
      </c>
      <c r="I6" s="259">
        <f>3976.1+3649.07</f>
        <v>7625.17</v>
      </c>
      <c r="J6" s="73"/>
      <c r="K6" s="294"/>
      <c r="L6" s="294"/>
      <c r="M6" s="294"/>
      <c r="N6" s="294"/>
      <c r="O6" s="68" t="s">
        <v>40</v>
      </c>
      <c r="P6" s="327"/>
      <c r="Q6" s="330"/>
      <c r="R6" s="327"/>
      <c r="S6" s="330"/>
    </row>
    <row r="7" spans="1:19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59">
        <v>6390.52</v>
      </c>
      <c r="I7" s="259">
        <v>4999.6099999999997</v>
      </c>
      <c r="J7" s="73"/>
      <c r="K7" s="295"/>
      <c r="L7" s="295"/>
      <c r="M7" s="295"/>
      <c r="N7" s="295"/>
      <c r="P7" s="327"/>
      <c r="Q7" s="330"/>
      <c r="R7" s="327"/>
      <c r="S7" s="330"/>
    </row>
    <row r="8" spans="1:19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59">
        <v>3604.91</v>
      </c>
      <c r="I8" s="259">
        <v>2962.85</v>
      </c>
      <c r="J8" s="73"/>
      <c r="K8" s="293">
        <v>4445</v>
      </c>
      <c r="L8" s="293">
        <v>625</v>
      </c>
      <c r="M8" s="293">
        <f t="shared" ref="M8" si="3">K8+L8</f>
        <v>5070</v>
      </c>
      <c r="N8" s="293">
        <v>18789.79</v>
      </c>
      <c r="P8" s="327"/>
      <c r="Q8" s="330"/>
      <c r="R8" s="327"/>
      <c r="S8" s="330"/>
    </row>
    <row r="9" spans="1:19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59">
        <v>3047.79</v>
      </c>
      <c r="I9" s="259">
        <v>2555.5</v>
      </c>
      <c r="J9" s="73"/>
      <c r="K9" s="294"/>
      <c r="L9" s="294"/>
      <c r="M9" s="294"/>
      <c r="N9" s="294"/>
      <c r="P9" s="327"/>
      <c r="Q9" s="330"/>
      <c r="R9" s="327"/>
      <c r="S9" s="330"/>
    </row>
    <row r="10" spans="1:19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59">
        <v>557.12</v>
      </c>
      <c r="I10" s="259">
        <v>734.4</v>
      </c>
      <c r="J10" s="73"/>
      <c r="K10" s="294"/>
      <c r="L10" s="294"/>
      <c r="M10" s="294"/>
      <c r="N10" s="294"/>
      <c r="P10" s="327"/>
      <c r="Q10" s="330"/>
      <c r="R10" s="327"/>
      <c r="S10" s="330"/>
    </row>
    <row r="11" spans="1:19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59">
        <v>677.29</v>
      </c>
      <c r="I11" s="259">
        <v>822.27</v>
      </c>
      <c r="J11" s="73"/>
      <c r="K11" s="294"/>
      <c r="L11" s="294"/>
      <c r="M11" s="294"/>
      <c r="N11" s="294"/>
      <c r="P11" s="327"/>
      <c r="Q11" s="330"/>
      <c r="R11" s="327"/>
      <c r="S11" s="330"/>
    </row>
    <row r="12" spans="1:19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59">
        <v>633.59</v>
      </c>
      <c r="I12" s="259">
        <v>790.32</v>
      </c>
      <c r="J12" s="73"/>
      <c r="K12" s="294"/>
      <c r="L12" s="294"/>
      <c r="M12" s="294"/>
      <c r="N12" s="294"/>
      <c r="O12" s="68" t="s">
        <v>43</v>
      </c>
      <c r="P12" s="327"/>
      <c r="Q12" s="330"/>
      <c r="R12" s="327"/>
      <c r="S12" s="330"/>
    </row>
    <row r="13" spans="1:19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59">
        <v>1529.35</v>
      </c>
      <c r="I13" s="259">
        <v>1445.27</v>
      </c>
      <c r="J13" s="73"/>
      <c r="K13" s="294"/>
      <c r="L13" s="294"/>
      <c r="M13" s="294"/>
      <c r="N13" s="294"/>
      <c r="O13" s="84"/>
      <c r="P13" s="327"/>
      <c r="Q13" s="330"/>
      <c r="R13" s="327"/>
      <c r="S13" s="330"/>
    </row>
    <row r="14" spans="1:19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59">
        <v>3222.57</v>
      </c>
      <c r="I14" s="259">
        <v>2683.3</v>
      </c>
      <c r="J14" s="73"/>
      <c r="K14" s="294"/>
      <c r="L14" s="294"/>
      <c r="M14" s="294"/>
      <c r="N14" s="294"/>
      <c r="O14" s="84"/>
      <c r="P14" s="327"/>
      <c r="Q14" s="330"/>
      <c r="R14" s="327"/>
      <c r="S14" s="330"/>
    </row>
    <row r="15" spans="1:19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59">
        <v>6084.65</v>
      </c>
      <c r="I15" s="259">
        <v>4775.96</v>
      </c>
      <c r="J15" s="73"/>
      <c r="K15" s="294"/>
      <c r="L15" s="294"/>
      <c r="M15" s="294"/>
      <c r="N15" s="294"/>
      <c r="O15" s="84"/>
      <c r="P15" s="327"/>
      <c r="Q15" s="330"/>
      <c r="R15" s="327"/>
      <c r="S15" s="330"/>
    </row>
    <row r="16" spans="1:19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59">
        <v>8717.31</v>
      </c>
      <c r="I16" s="259">
        <v>6700.88</v>
      </c>
      <c r="J16" s="73"/>
      <c r="K16" s="294"/>
      <c r="L16" s="294"/>
      <c r="M16" s="294"/>
      <c r="N16" s="294"/>
      <c r="O16" s="84"/>
      <c r="P16" s="328"/>
      <c r="Q16" s="331"/>
      <c r="R16" s="328"/>
      <c r="S16" s="331"/>
    </row>
    <row r="17" spans="1:19" x14ac:dyDescent="0.2">
      <c r="A17" s="4" t="s">
        <v>20</v>
      </c>
      <c r="B17" s="53">
        <f>SUM(B5:B16)</f>
        <v>0</v>
      </c>
      <c r="C17" s="5">
        <f t="shared" ref="C17:N17" si="4">SUM(C5:C16)</f>
        <v>0</v>
      </c>
      <c r="D17" s="53">
        <f t="shared" si="4"/>
        <v>0</v>
      </c>
      <c r="E17" s="5">
        <f t="shared" si="4"/>
        <v>0</v>
      </c>
      <c r="F17" s="5">
        <f t="shared" si="4"/>
        <v>0</v>
      </c>
      <c r="G17" s="5">
        <f t="shared" si="4"/>
        <v>0</v>
      </c>
      <c r="H17" s="253">
        <f t="shared" si="4"/>
        <v>60588.659999999996</v>
      </c>
      <c r="I17" s="253">
        <f t="shared" si="4"/>
        <v>47803.03</v>
      </c>
      <c r="J17" s="62"/>
      <c r="K17" s="253">
        <f t="shared" si="4"/>
        <v>6273</v>
      </c>
      <c r="L17" s="253">
        <f t="shared" si="4"/>
        <v>868</v>
      </c>
      <c r="M17" s="253">
        <f t="shared" si="4"/>
        <v>7141</v>
      </c>
      <c r="N17" s="253">
        <f t="shared" si="4"/>
        <v>26311.420000000002</v>
      </c>
      <c r="O17" s="62"/>
      <c r="P17" s="253">
        <f t="shared" ref="P17:S17" si="5">SUM(P5:P16)</f>
        <v>179</v>
      </c>
      <c r="Q17" s="253">
        <f t="shared" si="5"/>
        <v>6479.8</v>
      </c>
      <c r="R17" s="253">
        <f t="shared" si="5"/>
        <v>179</v>
      </c>
      <c r="S17" s="253">
        <f t="shared" si="5"/>
        <v>5681.46</v>
      </c>
    </row>
    <row r="18" spans="1:19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29"/>
      <c r="L18" s="29"/>
      <c r="M18" s="29"/>
      <c r="N18" s="32"/>
      <c r="O18" s="32"/>
      <c r="P18" s="27"/>
      <c r="Q18" s="32"/>
    </row>
    <row r="19" spans="1:19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3" spans="1:19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304"/>
      <c r="L23" s="305"/>
      <c r="M23" s="305"/>
      <c r="N23" s="306"/>
      <c r="O23" s="60"/>
      <c r="P23" s="322"/>
      <c r="Q23" s="322"/>
      <c r="R23" s="322"/>
      <c r="S23" s="322"/>
    </row>
    <row r="24" spans="1:19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 t="s">
        <v>52</v>
      </c>
      <c r="K24" s="304" t="s">
        <v>14</v>
      </c>
      <c r="L24" s="305"/>
      <c r="M24" s="305"/>
      <c r="N24" s="306"/>
      <c r="O24" s="60" t="s">
        <v>52</v>
      </c>
      <c r="P24" s="322" t="s">
        <v>50</v>
      </c>
      <c r="Q24" s="322"/>
      <c r="R24" s="322" t="s">
        <v>51</v>
      </c>
      <c r="S24" s="322"/>
    </row>
    <row r="25" spans="1:19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8" t="s">
        <v>35</v>
      </c>
      <c r="L25" s="8" t="s">
        <v>36</v>
      </c>
      <c r="M25" s="8" t="s">
        <v>37</v>
      </c>
      <c r="N25" s="8" t="s">
        <v>17</v>
      </c>
      <c r="O25" s="8"/>
      <c r="P25" s="9" t="s">
        <v>23</v>
      </c>
      <c r="Q25" s="9" t="s">
        <v>24</v>
      </c>
      <c r="R25" s="9" t="s">
        <v>23</v>
      </c>
      <c r="S25" s="9" t="s">
        <v>24</v>
      </c>
    </row>
    <row r="26" spans="1:19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69">
        <v>17599.66</v>
      </c>
      <c r="I26" s="69">
        <v>13213.82</v>
      </c>
      <c r="J26" s="73"/>
      <c r="K26" s="311">
        <v>1440</v>
      </c>
      <c r="L26" s="311">
        <v>380</v>
      </c>
      <c r="M26" s="311">
        <f>K26+L26</f>
        <v>1820</v>
      </c>
      <c r="N26" s="346">
        <f>4740.83+3000.17</f>
        <v>7741</v>
      </c>
      <c r="O26" s="83"/>
      <c r="P26" s="339">
        <v>33</v>
      </c>
      <c r="Q26" s="336">
        <f>P26*40.5</f>
        <v>1336.5</v>
      </c>
      <c r="R26" s="339">
        <v>33</v>
      </c>
      <c r="S26" s="336">
        <f>R26*34.98</f>
        <v>1154.3399999999999</v>
      </c>
    </row>
    <row r="27" spans="1:19" x14ac:dyDescent="0.2">
      <c r="A27" s="3" t="s">
        <v>1</v>
      </c>
      <c r="B27" s="46">
        <f t="shared" ref="B27:C37" si="6">D27+F27</f>
        <v>0</v>
      </c>
      <c r="C27" s="2">
        <f t="shared" si="6"/>
        <v>0</v>
      </c>
      <c r="D27" s="52"/>
      <c r="E27" s="16">
        <f t="shared" ref="E27:E37" si="7">D27*513.8</f>
        <v>0</v>
      </c>
      <c r="F27" s="2">
        <v>0</v>
      </c>
      <c r="G27" s="2">
        <f t="shared" ref="G27:G37" si="8">F27*336.1423</f>
        <v>0</v>
      </c>
      <c r="H27" s="69">
        <f>4779.08+4776</f>
        <v>9555.08</v>
      </c>
      <c r="I27" s="342">
        <f>3623.46+27370+10274.33</f>
        <v>41267.79</v>
      </c>
      <c r="J27" s="73"/>
      <c r="K27" s="312"/>
      <c r="L27" s="312"/>
      <c r="M27" s="312"/>
      <c r="N27" s="347"/>
      <c r="O27" s="68" t="s">
        <v>44</v>
      </c>
      <c r="P27" s="340"/>
      <c r="Q27" s="337"/>
      <c r="R27" s="340"/>
      <c r="S27" s="337"/>
    </row>
    <row r="28" spans="1:19" x14ac:dyDescent="0.2">
      <c r="A28" s="3" t="s">
        <v>2</v>
      </c>
      <c r="B28" s="46">
        <f t="shared" si="6"/>
        <v>0</v>
      </c>
      <c r="C28" s="2">
        <f t="shared" si="6"/>
        <v>0</v>
      </c>
      <c r="D28" s="52"/>
      <c r="E28" s="16">
        <f t="shared" si="7"/>
        <v>0</v>
      </c>
      <c r="F28" s="2">
        <v>0</v>
      </c>
      <c r="G28" s="2">
        <f t="shared" si="8"/>
        <v>0</v>
      </c>
      <c r="H28" s="69">
        <v>8188.99</v>
      </c>
      <c r="I28" s="343"/>
      <c r="J28" s="73"/>
      <c r="K28" s="345"/>
      <c r="L28" s="345"/>
      <c r="M28" s="345"/>
      <c r="N28" s="348"/>
      <c r="P28" s="340"/>
      <c r="Q28" s="337"/>
      <c r="R28" s="340"/>
      <c r="S28" s="337"/>
    </row>
    <row r="29" spans="1:19" x14ac:dyDescent="0.2">
      <c r="A29" s="3" t="s">
        <v>3</v>
      </c>
      <c r="B29" s="46">
        <f t="shared" si="6"/>
        <v>0</v>
      </c>
      <c r="C29" s="2">
        <f t="shared" si="6"/>
        <v>0</v>
      </c>
      <c r="D29" s="52"/>
      <c r="E29" s="16">
        <f t="shared" si="7"/>
        <v>0</v>
      </c>
      <c r="F29" s="2">
        <v>0</v>
      </c>
      <c r="G29" s="2">
        <f t="shared" si="8"/>
        <v>0</v>
      </c>
      <c r="H29" s="69">
        <v>4459.78</v>
      </c>
      <c r="I29" s="343"/>
      <c r="J29" s="73"/>
      <c r="K29" s="311">
        <v>5490</v>
      </c>
      <c r="L29" s="311">
        <v>1196</v>
      </c>
      <c r="M29" s="311">
        <f t="shared" ref="M29" si="9">K29+L29</f>
        <v>6686</v>
      </c>
      <c r="N29" s="346">
        <f>16923.09+11149.05</f>
        <v>28072.14</v>
      </c>
      <c r="P29" s="341"/>
      <c r="Q29" s="338"/>
      <c r="R29" s="341"/>
      <c r="S29" s="338"/>
    </row>
    <row r="30" spans="1:19" x14ac:dyDescent="0.2">
      <c r="A30" s="3" t="s">
        <v>4</v>
      </c>
      <c r="B30" s="46">
        <f t="shared" si="6"/>
        <v>0</v>
      </c>
      <c r="C30" s="2">
        <f t="shared" si="6"/>
        <v>0</v>
      </c>
      <c r="D30" s="52"/>
      <c r="E30" s="16">
        <f t="shared" si="7"/>
        <v>0</v>
      </c>
      <c r="F30" s="2">
        <v>0</v>
      </c>
      <c r="G30" s="2">
        <f t="shared" si="8"/>
        <v>0</v>
      </c>
      <c r="H30" s="69">
        <v>2878.69</v>
      </c>
      <c r="I30" s="343"/>
      <c r="J30" s="73"/>
      <c r="K30" s="312"/>
      <c r="L30" s="312"/>
      <c r="M30" s="312"/>
      <c r="N30" s="347"/>
      <c r="P30" s="93"/>
      <c r="Q30" s="94">
        <f t="shared" ref="Q30:Q37" si="10">P30*58.26</f>
        <v>0</v>
      </c>
      <c r="R30" s="93"/>
      <c r="S30" s="94">
        <f t="shared" ref="S30:S37" si="11">R30*58.26</f>
        <v>0</v>
      </c>
    </row>
    <row r="31" spans="1:19" x14ac:dyDescent="0.2">
      <c r="A31" s="3" t="s">
        <v>5</v>
      </c>
      <c r="B31" s="46">
        <f t="shared" si="6"/>
        <v>0</v>
      </c>
      <c r="C31" s="2">
        <f t="shared" si="6"/>
        <v>0</v>
      </c>
      <c r="D31" s="52"/>
      <c r="E31" s="16">
        <f t="shared" si="7"/>
        <v>0</v>
      </c>
      <c r="F31" s="2">
        <v>0</v>
      </c>
      <c r="G31" s="2">
        <f t="shared" si="8"/>
        <v>0</v>
      </c>
      <c r="H31" s="69">
        <v>1221.26</v>
      </c>
      <c r="I31" s="343"/>
      <c r="J31" s="73"/>
      <c r="K31" s="312"/>
      <c r="L31" s="312"/>
      <c r="M31" s="312"/>
      <c r="N31" s="347"/>
      <c r="P31" s="93"/>
      <c r="Q31" s="94">
        <f t="shared" si="10"/>
        <v>0</v>
      </c>
      <c r="R31" s="93"/>
      <c r="S31" s="94">
        <f t="shared" si="11"/>
        <v>0</v>
      </c>
    </row>
    <row r="32" spans="1:19" x14ac:dyDescent="0.2">
      <c r="A32" s="3" t="s">
        <v>6</v>
      </c>
      <c r="B32" s="46">
        <f t="shared" si="6"/>
        <v>0</v>
      </c>
      <c r="C32" s="2">
        <f t="shared" si="6"/>
        <v>0</v>
      </c>
      <c r="D32" s="52"/>
      <c r="E32" s="16">
        <f t="shared" si="7"/>
        <v>0</v>
      </c>
      <c r="F32" s="2">
        <v>0</v>
      </c>
      <c r="G32" s="2">
        <f t="shared" si="8"/>
        <v>0</v>
      </c>
      <c r="H32" s="69">
        <v>959.56</v>
      </c>
      <c r="I32" s="343"/>
      <c r="J32" s="73"/>
      <c r="K32" s="312"/>
      <c r="L32" s="312"/>
      <c r="M32" s="312"/>
      <c r="N32" s="347"/>
      <c r="P32" s="93"/>
      <c r="Q32" s="94">
        <f t="shared" si="10"/>
        <v>0</v>
      </c>
      <c r="R32" s="93"/>
      <c r="S32" s="94">
        <f t="shared" si="11"/>
        <v>0</v>
      </c>
    </row>
    <row r="33" spans="1:19" x14ac:dyDescent="0.2">
      <c r="A33" s="3" t="s">
        <v>7</v>
      </c>
      <c r="B33" s="46">
        <f t="shared" si="6"/>
        <v>0</v>
      </c>
      <c r="C33" s="2">
        <f t="shared" si="6"/>
        <v>0</v>
      </c>
      <c r="D33" s="52"/>
      <c r="E33" s="16">
        <f t="shared" si="7"/>
        <v>0</v>
      </c>
      <c r="F33" s="2">
        <v>0</v>
      </c>
      <c r="G33" s="2">
        <f t="shared" si="8"/>
        <v>0</v>
      </c>
      <c r="H33" s="69">
        <v>817.81</v>
      </c>
      <c r="I33" s="343"/>
      <c r="J33" s="73"/>
      <c r="K33" s="312"/>
      <c r="L33" s="312"/>
      <c r="M33" s="312"/>
      <c r="N33" s="347"/>
      <c r="O33" s="68" t="s">
        <v>45</v>
      </c>
      <c r="P33" s="93"/>
      <c r="Q33" s="94">
        <f t="shared" si="10"/>
        <v>0</v>
      </c>
      <c r="R33" s="93"/>
      <c r="S33" s="94">
        <f t="shared" si="11"/>
        <v>0</v>
      </c>
    </row>
    <row r="34" spans="1:19" x14ac:dyDescent="0.2">
      <c r="A34" s="3" t="s">
        <v>8</v>
      </c>
      <c r="B34" s="46">
        <f t="shared" si="6"/>
        <v>0</v>
      </c>
      <c r="C34" s="2">
        <f t="shared" si="6"/>
        <v>0</v>
      </c>
      <c r="D34" s="52"/>
      <c r="E34" s="16">
        <f t="shared" si="7"/>
        <v>0</v>
      </c>
      <c r="F34" s="2">
        <v>0</v>
      </c>
      <c r="G34" s="2">
        <f t="shared" si="8"/>
        <v>0</v>
      </c>
      <c r="H34" s="69">
        <v>1592</v>
      </c>
      <c r="I34" s="343"/>
      <c r="J34" s="73"/>
      <c r="K34" s="312"/>
      <c r="L34" s="312"/>
      <c r="M34" s="312"/>
      <c r="N34" s="347"/>
      <c r="O34" s="84"/>
      <c r="P34" s="93"/>
      <c r="Q34" s="94">
        <f t="shared" si="10"/>
        <v>0</v>
      </c>
      <c r="R34" s="93"/>
      <c r="S34" s="94">
        <f t="shared" si="11"/>
        <v>0</v>
      </c>
    </row>
    <row r="35" spans="1:19" x14ac:dyDescent="0.2">
      <c r="A35" s="3" t="s">
        <v>9</v>
      </c>
      <c r="B35" s="46">
        <f t="shared" si="6"/>
        <v>0</v>
      </c>
      <c r="C35" s="2">
        <f t="shared" si="6"/>
        <v>0</v>
      </c>
      <c r="D35" s="52"/>
      <c r="E35" s="16">
        <f t="shared" si="7"/>
        <v>0</v>
      </c>
      <c r="F35" s="2">
        <v>0</v>
      </c>
      <c r="G35" s="2">
        <f t="shared" si="8"/>
        <v>0</v>
      </c>
      <c r="H35" s="69">
        <v>4339.84</v>
      </c>
      <c r="I35" s="343"/>
      <c r="J35" s="73"/>
      <c r="K35" s="312"/>
      <c r="L35" s="312"/>
      <c r="M35" s="312"/>
      <c r="N35" s="347"/>
      <c r="O35" s="84"/>
      <c r="P35" s="93"/>
      <c r="Q35" s="94">
        <f t="shared" si="10"/>
        <v>0</v>
      </c>
      <c r="R35" s="93"/>
      <c r="S35" s="94">
        <f t="shared" si="11"/>
        <v>0</v>
      </c>
    </row>
    <row r="36" spans="1:19" x14ac:dyDescent="0.2">
      <c r="A36" s="3" t="s">
        <v>10</v>
      </c>
      <c r="B36" s="46">
        <f t="shared" si="6"/>
        <v>0</v>
      </c>
      <c r="C36" s="2">
        <f t="shared" si="6"/>
        <v>0</v>
      </c>
      <c r="D36" s="52"/>
      <c r="E36" s="16">
        <f t="shared" si="7"/>
        <v>0</v>
      </c>
      <c r="F36" s="2">
        <v>0</v>
      </c>
      <c r="G36" s="2">
        <f t="shared" si="8"/>
        <v>0</v>
      </c>
      <c r="H36" s="69">
        <v>7600.17</v>
      </c>
      <c r="I36" s="343"/>
      <c r="J36" s="73"/>
      <c r="K36" s="312"/>
      <c r="L36" s="312"/>
      <c r="M36" s="312"/>
      <c r="N36" s="347"/>
      <c r="O36" s="84"/>
      <c r="P36" s="93"/>
      <c r="Q36" s="94">
        <f t="shared" si="10"/>
        <v>0</v>
      </c>
      <c r="R36" s="93"/>
      <c r="S36" s="94">
        <f t="shared" si="11"/>
        <v>0</v>
      </c>
    </row>
    <row r="37" spans="1:19" x14ac:dyDescent="0.2">
      <c r="A37" s="3" t="s">
        <v>11</v>
      </c>
      <c r="B37" s="46">
        <f t="shared" si="6"/>
        <v>0</v>
      </c>
      <c r="C37" s="2">
        <f t="shared" si="6"/>
        <v>0</v>
      </c>
      <c r="D37" s="52"/>
      <c r="E37" s="16">
        <f t="shared" si="7"/>
        <v>0</v>
      </c>
      <c r="F37" s="2">
        <v>0</v>
      </c>
      <c r="G37" s="2">
        <f t="shared" si="8"/>
        <v>0</v>
      </c>
      <c r="H37" s="69">
        <v>9824.6</v>
      </c>
      <c r="I37" s="344"/>
      <c r="J37" s="73"/>
      <c r="K37" s="312"/>
      <c r="L37" s="312"/>
      <c r="M37" s="312"/>
      <c r="N37" s="347"/>
      <c r="O37" s="84"/>
      <c r="P37" s="93"/>
      <c r="Q37" s="94">
        <f t="shared" si="10"/>
        <v>0</v>
      </c>
      <c r="R37" s="93"/>
      <c r="S37" s="94">
        <f t="shared" si="11"/>
        <v>0</v>
      </c>
    </row>
    <row r="38" spans="1:19" x14ac:dyDescent="0.2">
      <c r="A38" s="4" t="s">
        <v>20</v>
      </c>
      <c r="B38" s="53">
        <f>SUM(B26:B37)</f>
        <v>0</v>
      </c>
      <c r="C38" s="5">
        <f t="shared" ref="C38:I38" si="12">SUM(C26:C37)</f>
        <v>0</v>
      </c>
      <c r="D38" s="53">
        <f t="shared" si="12"/>
        <v>0</v>
      </c>
      <c r="E38" s="5">
        <f t="shared" si="12"/>
        <v>0</v>
      </c>
      <c r="F38" s="5">
        <f t="shared" si="12"/>
        <v>0</v>
      </c>
      <c r="G38" s="5">
        <f t="shared" si="12"/>
        <v>0</v>
      </c>
      <c r="H38" s="62">
        <f t="shared" si="12"/>
        <v>69037.440000000002</v>
      </c>
      <c r="I38" s="62">
        <f t="shared" si="12"/>
        <v>54481.61</v>
      </c>
      <c r="J38" s="75"/>
      <c r="K38" s="345"/>
      <c r="L38" s="345"/>
      <c r="M38" s="345"/>
      <c r="N38" s="348"/>
      <c r="O38" s="85"/>
      <c r="P38" s="5">
        <f t="shared" ref="P38:S38" si="13">SUM(P26:P37)</f>
        <v>33</v>
      </c>
      <c r="Q38" s="5">
        <f t="shared" si="13"/>
        <v>1336.5</v>
      </c>
      <c r="R38" s="5">
        <f t="shared" si="13"/>
        <v>33</v>
      </c>
      <c r="S38" s="5">
        <f t="shared" si="13"/>
        <v>1154.3399999999999</v>
      </c>
    </row>
    <row r="39" spans="1:19" x14ac:dyDescent="0.2">
      <c r="K39" s="64"/>
      <c r="L39" s="64"/>
      <c r="M39" s="64"/>
      <c r="N39" s="65"/>
      <c r="O39" s="65"/>
    </row>
    <row r="44" spans="1:19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58"/>
      <c r="K44" s="335"/>
      <c r="L44" s="335"/>
      <c r="M44" s="335"/>
      <c r="N44" s="335"/>
      <c r="O44" s="59"/>
      <c r="P44" s="322"/>
      <c r="Q44" s="322"/>
    </row>
    <row r="45" spans="1:19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8"/>
      <c r="L45" s="8"/>
      <c r="M45" s="8"/>
      <c r="N45" s="8"/>
      <c r="O45" s="8"/>
      <c r="P45" s="9"/>
      <c r="Q45" s="9"/>
    </row>
    <row r="46" spans="1:19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19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19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 spans="1:17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</row>
    <row r="55" spans="1:17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</row>
    <row r="56" spans="1:17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pans="1:17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</row>
    <row r="58" spans="1:17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</sheetData>
  <mergeCells count="62">
    <mergeCell ref="P26:P29"/>
    <mergeCell ref="Q26:Q29"/>
    <mergeCell ref="R26:R29"/>
    <mergeCell ref="S26:S29"/>
    <mergeCell ref="I27:I37"/>
    <mergeCell ref="K26:K28"/>
    <mergeCell ref="L26:L28"/>
    <mergeCell ref="M26:M28"/>
    <mergeCell ref="N26:N28"/>
    <mergeCell ref="K29:K38"/>
    <mergeCell ref="L29:L38"/>
    <mergeCell ref="M29:M38"/>
    <mergeCell ref="N29:N38"/>
    <mergeCell ref="R24:S24"/>
    <mergeCell ref="R23:S23"/>
    <mergeCell ref="R2:S2"/>
    <mergeCell ref="R3:S3"/>
    <mergeCell ref="P5:P16"/>
    <mergeCell ref="Q5:Q16"/>
    <mergeCell ref="R5:R16"/>
    <mergeCell ref="S5:S16"/>
    <mergeCell ref="P23:Q23"/>
    <mergeCell ref="P24:Q24"/>
    <mergeCell ref="P2:Q2"/>
    <mergeCell ref="P3:Q3"/>
    <mergeCell ref="K5:K7"/>
    <mergeCell ref="L5:L7"/>
    <mergeCell ref="M5:M7"/>
    <mergeCell ref="N5:N7"/>
    <mergeCell ref="N8:N16"/>
    <mergeCell ref="M8:M16"/>
    <mergeCell ref="L8:L16"/>
    <mergeCell ref="K8:K16"/>
    <mergeCell ref="P44:Q44"/>
    <mergeCell ref="A44:A45"/>
    <mergeCell ref="B44:C44"/>
    <mergeCell ref="D44:E44"/>
    <mergeCell ref="F44:G44"/>
    <mergeCell ref="H44:I44"/>
    <mergeCell ref="K44:N44"/>
    <mergeCell ref="K23:N23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K24:N24"/>
    <mergeCell ref="K2:N2"/>
    <mergeCell ref="A2:A4"/>
    <mergeCell ref="B2:C2"/>
    <mergeCell ref="D2:E2"/>
    <mergeCell ref="F2:G2"/>
    <mergeCell ref="H2:I2"/>
    <mergeCell ref="B3:C3"/>
    <mergeCell ref="D3:E3"/>
    <mergeCell ref="F3:G3"/>
    <mergeCell ref="H3:I3"/>
    <mergeCell ref="K3:N3"/>
  </mergeCells>
  <pageMargins left="0.7" right="0.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573C7-A1F6-42B1-9BCE-77FF62511540}">
  <sheetPr>
    <tabColor theme="0"/>
  </sheetPr>
  <dimension ref="A1:AB58"/>
  <sheetViews>
    <sheetView workbookViewId="0">
      <selection activeCell="A44" sqref="A44:P58"/>
    </sheetView>
  </sheetViews>
  <sheetFormatPr defaultRowHeight="12.75" x14ac:dyDescent="0.2"/>
  <cols>
    <col min="1" max="1" width="12.7109375" customWidth="1"/>
    <col min="2" max="16" width="11.7109375" customWidth="1"/>
    <col min="17" max="17" width="9.28515625" bestFit="1" customWidth="1"/>
    <col min="18" max="18" width="10.28515625" bestFit="1" customWidth="1"/>
    <col min="20" max="20" width="10.7109375" customWidth="1"/>
    <col min="21" max="21" width="11.28515625" customWidth="1"/>
    <col min="22" max="22" width="11.85546875" customWidth="1"/>
    <col min="23" max="23" width="11.5703125" customWidth="1"/>
    <col min="24" max="26" width="9.28515625" bestFit="1" customWidth="1"/>
    <col min="27" max="27" width="10.28515625" bestFit="1" customWidth="1"/>
    <col min="28" max="28" width="10.28515625" customWidth="1"/>
  </cols>
  <sheetData>
    <row r="1" spans="1:28" ht="15" x14ac:dyDescent="0.2">
      <c r="A1" s="21" t="s">
        <v>172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57" t="s">
        <v>33</v>
      </c>
    </row>
    <row r="2" spans="1:28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467" t="s">
        <v>190</v>
      </c>
      <c r="K2" s="468"/>
      <c r="L2" s="468"/>
      <c r="M2" s="469"/>
      <c r="N2" s="235"/>
      <c r="O2" s="362" t="s">
        <v>60</v>
      </c>
      <c r="P2" s="362"/>
      <c r="Q2" s="362" t="s">
        <v>61</v>
      </c>
      <c r="R2" s="362"/>
      <c r="T2" s="474" t="s">
        <v>210</v>
      </c>
      <c r="U2" s="475"/>
      <c r="V2" s="475"/>
      <c r="W2" s="476"/>
      <c r="X2" s="467" t="s">
        <v>209</v>
      </c>
      <c r="Y2" s="468"/>
      <c r="Z2" s="468"/>
      <c r="AA2" s="469"/>
      <c r="AB2" s="235"/>
    </row>
    <row r="3" spans="1:28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304" t="s">
        <v>14</v>
      </c>
      <c r="K3" s="305"/>
      <c r="L3" s="305"/>
      <c r="M3" s="306"/>
      <c r="N3" s="233"/>
      <c r="O3" s="361" t="s">
        <v>62</v>
      </c>
      <c r="P3" s="361"/>
      <c r="Q3" s="361" t="s">
        <v>63</v>
      </c>
      <c r="R3" s="361"/>
      <c r="T3" s="355" t="s">
        <v>14</v>
      </c>
      <c r="U3" s="356"/>
      <c r="V3" s="356"/>
      <c r="W3" s="357"/>
      <c r="X3" s="304" t="s">
        <v>14</v>
      </c>
      <c r="Y3" s="305"/>
      <c r="Z3" s="305"/>
      <c r="AA3" s="306"/>
      <c r="AB3" s="233"/>
    </row>
    <row r="4" spans="1:28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8" t="s">
        <v>35</v>
      </c>
      <c r="K4" s="8" t="s">
        <v>36</v>
      </c>
      <c r="L4" s="8" t="s">
        <v>37</v>
      </c>
      <c r="M4" s="8" t="s">
        <v>17</v>
      </c>
      <c r="N4" s="8" t="s">
        <v>191</v>
      </c>
      <c r="O4" s="153" t="s">
        <v>23</v>
      </c>
      <c r="P4" s="153" t="s">
        <v>24</v>
      </c>
      <c r="Q4" s="153" t="s">
        <v>23</v>
      </c>
      <c r="R4" s="153" t="s">
        <v>24</v>
      </c>
      <c r="T4" s="152" t="s">
        <v>35</v>
      </c>
      <c r="U4" s="152" t="s">
        <v>36</v>
      </c>
      <c r="V4" s="152" t="s">
        <v>37</v>
      </c>
      <c r="W4" s="152" t="s">
        <v>17</v>
      </c>
      <c r="X4" s="8" t="s">
        <v>35</v>
      </c>
      <c r="Y4" s="8" t="s">
        <v>36</v>
      </c>
      <c r="Z4" s="8" t="s">
        <v>37</v>
      </c>
      <c r="AA4" s="8" t="s">
        <v>17</v>
      </c>
      <c r="AB4" s="8" t="s">
        <v>191</v>
      </c>
    </row>
    <row r="5" spans="1:28" x14ac:dyDescent="0.2">
      <c r="A5" s="3" t="s">
        <v>0</v>
      </c>
      <c r="B5" s="46"/>
      <c r="C5" s="2"/>
      <c r="D5" s="262">
        <v>124</v>
      </c>
      <c r="E5" s="260">
        <f>D5*550.15</f>
        <v>68218.599999999991</v>
      </c>
      <c r="F5" s="2">
        <v>0</v>
      </c>
      <c r="G5" s="2">
        <f>F5*336.1423</f>
        <v>0</v>
      </c>
      <c r="H5" s="237"/>
      <c r="I5" s="237"/>
      <c r="J5" s="483">
        <v>2002.8</v>
      </c>
      <c r="K5" s="483">
        <v>0</v>
      </c>
      <c r="L5" s="483">
        <f>J5+K5</f>
        <v>2002.8</v>
      </c>
      <c r="M5" s="483">
        <f>1812.53+4487.17+991.39+452.87+152.59+20.12</f>
        <v>7916.67</v>
      </c>
      <c r="N5" s="489" t="s">
        <v>196</v>
      </c>
      <c r="O5" s="329">
        <v>490</v>
      </c>
      <c r="P5" s="329">
        <v>17738</v>
      </c>
      <c r="Q5" s="329">
        <v>490</v>
      </c>
      <c r="R5" s="329">
        <v>15552.6</v>
      </c>
      <c r="T5" s="477">
        <v>8600</v>
      </c>
      <c r="U5" s="477">
        <v>0</v>
      </c>
      <c r="V5" s="477">
        <v>8600</v>
      </c>
      <c r="W5" s="477">
        <v>40079.230000000003</v>
      </c>
      <c r="X5" s="483">
        <v>835</v>
      </c>
      <c r="Y5" s="483">
        <v>0</v>
      </c>
      <c r="Z5" s="483">
        <f>X5+Y5</f>
        <v>835</v>
      </c>
      <c r="AA5" s="483">
        <v>4434.63</v>
      </c>
      <c r="AB5" s="486" t="s">
        <v>207</v>
      </c>
    </row>
    <row r="6" spans="1:28" x14ac:dyDescent="0.2">
      <c r="A6" s="3" t="s">
        <v>1</v>
      </c>
      <c r="B6" s="46"/>
      <c r="C6" s="2"/>
      <c r="D6" s="263">
        <f>67+11</f>
        <v>78</v>
      </c>
      <c r="E6" s="260">
        <f t="shared" ref="E6:E16" si="0">D6*550.15</f>
        <v>42911.7</v>
      </c>
      <c r="F6" s="2">
        <v>0</v>
      </c>
      <c r="G6" s="2">
        <f t="shared" ref="G6:G16" si="1">F6*336.1423</f>
        <v>0</v>
      </c>
      <c r="H6" s="237"/>
      <c r="I6" s="237"/>
      <c r="J6" s="484"/>
      <c r="K6" s="484"/>
      <c r="L6" s="484">
        <f t="shared" ref="L6:L16" si="2">J6+K6</f>
        <v>0</v>
      </c>
      <c r="M6" s="484"/>
      <c r="N6" s="490"/>
      <c r="O6" s="330"/>
      <c r="P6" s="330"/>
      <c r="Q6" s="330"/>
      <c r="R6" s="330"/>
      <c r="T6" s="478"/>
      <c r="U6" s="478"/>
      <c r="V6" s="478"/>
      <c r="W6" s="478"/>
      <c r="X6" s="484"/>
      <c r="Y6" s="484"/>
      <c r="Z6" s="484">
        <f t="shared" ref="Z6:Z16" si="3">X6+Y6</f>
        <v>0</v>
      </c>
      <c r="AA6" s="484"/>
      <c r="AB6" s="487"/>
    </row>
    <row r="7" spans="1:28" x14ac:dyDescent="0.2">
      <c r="A7" s="3" t="s">
        <v>2</v>
      </c>
      <c r="B7" s="46"/>
      <c r="C7" s="2"/>
      <c r="D7" s="263">
        <v>46</v>
      </c>
      <c r="E7" s="260">
        <f t="shared" si="0"/>
        <v>25306.899999999998</v>
      </c>
      <c r="F7" s="2">
        <v>0</v>
      </c>
      <c r="G7" s="2">
        <f t="shared" si="1"/>
        <v>0</v>
      </c>
      <c r="H7" s="237"/>
      <c r="I7" s="237"/>
      <c r="J7" s="485"/>
      <c r="K7" s="485"/>
      <c r="L7" s="485">
        <f t="shared" si="2"/>
        <v>0</v>
      </c>
      <c r="M7" s="485"/>
      <c r="N7" s="491"/>
      <c r="O7" s="330"/>
      <c r="P7" s="330"/>
      <c r="Q7" s="330"/>
      <c r="R7" s="330"/>
      <c r="T7" s="478"/>
      <c r="U7" s="478"/>
      <c r="V7" s="478"/>
      <c r="W7" s="478"/>
      <c r="X7" s="485"/>
      <c r="Y7" s="485"/>
      <c r="Z7" s="485">
        <f t="shared" si="3"/>
        <v>0</v>
      </c>
      <c r="AA7" s="485"/>
      <c r="AB7" s="488"/>
    </row>
    <row r="8" spans="1:28" ht="12.75" customHeight="1" x14ac:dyDescent="0.2">
      <c r="A8" s="3" t="s">
        <v>3</v>
      </c>
      <c r="B8" s="46"/>
      <c r="C8" s="2"/>
      <c r="D8" s="263">
        <v>29</v>
      </c>
      <c r="E8" s="260">
        <f t="shared" si="0"/>
        <v>15954.349999999999</v>
      </c>
      <c r="F8" s="2">
        <v>0</v>
      </c>
      <c r="G8" s="2">
        <f t="shared" si="1"/>
        <v>0</v>
      </c>
      <c r="H8" s="237"/>
      <c r="I8" s="237"/>
      <c r="J8" s="483">
        <v>5665</v>
      </c>
      <c r="K8" s="483">
        <v>0</v>
      </c>
      <c r="L8" s="483">
        <f t="shared" si="2"/>
        <v>5665</v>
      </c>
      <c r="M8" s="483">
        <v>22697.27</v>
      </c>
      <c r="N8" s="486" t="s">
        <v>192</v>
      </c>
      <c r="O8" s="330"/>
      <c r="P8" s="330"/>
      <c r="Q8" s="330"/>
      <c r="R8" s="330"/>
      <c r="T8" s="478"/>
      <c r="U8" s="478"/>
      <c r="V8" s="478"/>
      <c r="W8" s="478"/>
      <c r="X8" s="483">
        <v>1620</v>
      </c>
      <c r="Y8" s="483">
        <v>0</v>
      </c>
      <c r="Z8" s="483">
        <f t="shared" si="3"/>
        <v>1620</v>
      </c>
      <c r="AA8" s="483">
        <v>9089.64</v>
      </c>
      <c r="AB8" s="486" t="s">
        <v>208</v>
      </c>
    </row>
    <row r="9" spans="1:28" x14ac:dyDescent="0.2">
      <c r="A9" s="3" t="s">
        <v>4</v>
      </c>
      <c r="B9" s="46"/>
      <c r="C9" s="2"/>
      <c r="D9" s="263">
        <v>23</v>
      </c>
      <c r="E9" s="260">
        <f t="shared" si="0"/>
        <v>12653.449999999999</v>
      </c>
      <c r="F9" s="2">
        <v>0</v>
      </c>
      <c r="G9" s="2">
        <f t="shared" si="1"/>
        <v>0</v>
      </c>
      <c r="H9" s="237"/>
      <c r="I9" s="237"/>
      <c r="J9" s="484"/>
      <c r="K9" s="484"/>
      <c r="L9" s="484">
        <f t="shared" si="2"/>
        <v>0</v>
      </c>
      <c r="M9" s="484"/>
      <c r="N9" s="487"/>
      <c r="O9" s="330"/>
      <c r="P9" s="330"/>
      <c r="Q9" s="330"/>
      <c r="R9" s="330"/>
      <c r="T9" s="478"/>
      <c r="U9" s="478"/>
      <c r="V9" s="478"/>
      <c r="W9" s="478"/>
      <c r="X9" s="484"/>
      <c r="Y9" s="484"/>
      <c r="Z9" s="484">
        <f t="shared" si="3"/>
        <v>0</v>
      </c>
      <c r="AA9" s="484"/>
      <c r="AB9" s="487"/>
    </row>
    <row r="10" spans="1:28" x14ac:dyDescent="0.2">
      <c r="A10" s="3" t="s">
        <v>5</v>
      </c>
      <c r="B10" s="46"/>
      <c r="C10" s="2"/>
      <c r="D10" s="263">
        <v>0</v>
      </c>
      <c r="E10" s="260">
        <f t="shared" si="0"/>
        <v>0</v>
      </c>
      <c r="F10" s="2">
        <v>0</v>
      </c>
      <c r="G10" s="2">
        <f t="shared" si="1"/>
        <v>0</v>
      </c>
      <c r="H10" s="237"/>
      <c r="I10" s="237"/>
      <c r="J10" s="484"/>
      <c r="K10" s="484"/>
      <c r="L10" s="484">
        <f t="shared" si="2"/>
        <v>0</v>
      </c>
      <c r="M10" s="484"/>
      <c r="N10" s="487"/>
      <c r="O10" s="330"/>
      <c r="P10" s="330"/>
      <c r="Q10" s="330"/>
      <c r="R10" s="330"/>
      <c r="T10" s="478"/>
      <c r="U10" s="478"/>
      <c r="V10" s="478"/>
      <c r="W10" s="478"/>
      <c r="X10" s="484"/>
      <c r="Y10" s="484"/>
      <c r="Z10" s="484">
        <f t="shared" si="3"/>
        <v>0</v>
      </c>
      <c r="AA10" s="484"/>
      <c r="AB10" s="487"/>
    </row>
    <row r="11" spans="1:28" x14ac:dyDescent="0.2">
      <c r="A11" s="3" t="s">
        <v>6</v>
      </c>
      <c r="B11" s="46"/>
      <c r="C11" s="2"/>
      <c r="D11" s="263">
        <v>0</v>
      </c>
      <c r="E11" s="260">
        <f t="shared" si="0"/>
        <v>0</v>
      </c>
      <c r="F11" s="2">
        <v>0</v>
      </c>
      <c r="G11" s="2">
        <f t="shared" si="1"/>
        <v>0</v>
      </c>
      <c r="H11" s="237"/>
      <c r="I11" s="237"/>
      <c r="J11" s="484"/>
      <c r="K11" s="484"/>
      <c r="L11" s="484">
        <f t="shared" si="2"/>
        <v>0</v>
      </c>
      <c r="M11" s="484"/>
      <c r="N11" s="487"/>
      <c r="O11" s="330"/>
      <c r="P11" s="330"/>
      <c r="Q11" s="330"/>
      <c r="R11" s="330"/>
      <c r="T11" s="478"/>
      <c r="U11" s="478"/>
      <c r="V11" s="478"/>
      <c r="W11" s="478"/>
      <c r="X11" s="484"/>
      <c r="Y11" s="484"/>
      <c r="Z11" s="484">
        <f t="shared" si="3"/>
        <v>0</v>
      </c>
      <c r="AA11" s="484"/>
      <c r="AB11" s="487"/>
    </row>
    <row r="12" spans="1:28" x14ac:dyDescent="0.2">
      <c r="A12" s="3" t="s">
        <v>7</v>
      </c>
      <c r="B12" s="46"/>
      <c r="C12" s="2"/>
      <c r="D12" s="263">
        <v>0</v>
      </c>
      <c r="E12" s="260">
        <f t="shared" si="0"/>
        <v>0</v>
      </c>
      <c r="F12" s="2">
        <v>0</v>
      </c>
      <c r="G12" s="2">
        <f t="shared" si="1"/>
        <v>0</v>
      </c>
      <c r="H12" s="237"/>
      <c r="I12" s="237"/>
      <c r="J12" s="484"/>
      <c r="K12" s="484"/>
      <c r="L12" s="484">
        <f t="shared" si="2"/>
        <v>0</v>
      </c>
      <c r="M12" s="484"/>
      <c r="N12" s="487"/>
      <c r="O12" s="330"/>
      <c r="P12" s="330"/>
      <c r="Q12" s="330"/>
      <c r="R12" s="330"/>
      <c r="T12" s="478"/>
      <c r="U12" s="478"/>
      <c r="V12" s="478"/>
      <c r="W12" s="478"/>
      <c r="X12" s="484"/>
      <c r="Y12" s="484"/>
      <c r="Z12" s="484">
        <f t="shared" si="3"/>
        <v>0</v>
      </c>
      <c r="AA12" s="484"/>
      <c r="AB12" s="487"/>
    </row>
    <row r="13" spans="1:28" x14ac:dyDescent="0.2">
      <c r="A13" s="3" t="s">
        <v>8</v>
      </c>
      <c r="B13" s="46"/>
      <c r="C13" s="2"/>
      <c r="D13" s="263">
        <v>7</v>
      </c>
      <c r="E13" s="260">
        <f t="shared" si="0"/>
        <v>3851.0499999999997</v>
      </c>
      <c r="F13" s="2">
        <v>0</v>
      </c>
      <c r="G13" s="2">
        <f t="shared" si="1"/>
        <v>0</v>
      </c>
      <c r="H13" s="237"/>
      <c r="I13" s="237"/>
      <c r="J13" s="484"/>
      <c r="K13" s="484"/>
      <c r="L13" s="484">
        <f t="shared" si="2"/>
        <v>0</v>
      </c>
      <c r="M13" s="484"/>
      <c r="N13" s="487"/>
      <c r="O13" s="330"/>
      <c r="P13" s="330"/>
      <c r="Q13" s="330"/>
      <c r="R13" s="330"/>
      <c r="T13" s="478"/>
      <c r="U13" s="478"/>
      <c r="V13" s="478"/>
      <c r="W13" s="478"/>
      <c r="X13" s="484"/>
      <c r="Y13" s="484"/>
      <c r="Z13" s="484">
        <f t="shared" si="3"/>
        <v>0</v>
      </c>
      <c r="AA13" s="484"/>
      <c r="AB13" s="487"/>
    </row>
    <row r="14" spans="1:28" x14ac:dyDescent="0.2">
      <c r="A14" s="3" t="s">
        <v>9</v>
      </c>
      <c r="B14" s="46"/>
      <c r="C14" s="2"/>
      <c r="D14" s="263">
        <v>27</v>
      </c>
      <c r="E14" s="260">
        <f t="shared" si="0"/>
        <v>14854.05</v>
      </c>
      <c r="F14" s="2">
        <v>0</v>
      </c>
      <c r="G14" s="2">
        <f t="shared" si="1"/>
        <v>0</v>
      </c>
      <c r="H14" s="237"/>
      <c r="I14" s="237"/>
      <c r="J14" s="484"/>
      <c r="K14" s="484"/>
      <c r="L14" s="484">
        <f t="shared" si="2"/>
        <v>0</v>
      </c>
      <c r="M14" s="484"/>
      <c r="N14" s="487"/>
      <c r="O14" s="330"/>
      <c r="P14" s="330"/>
      <c r="Q14" s="330"/>
      <c r="R14" s="330"/>
      <c r="T14" s="478"/>
      <c r="U14" s="478"/>
      <c r="V14" s="478"/>
      <c r="W14" s="478"/>
      <c r="X14" s="484"/>
      <c r="Y14" s="484"/>
      <c r="Z14" s="484">
        <f t="shared" si="3"/>
        <v>0</v>
      </c>
      <c r="AA14" s="484"/>
      <c r="AB14" s="487"/>
    </row>
    <row r="15" spans="1:28" x14ac:dyDescent="0.2">
      <c r="A15" s="3" t="s">
        <v>10</v>
      </c>
      <c r="B15" s="46"/>
      <c r="C15" s="2"/>
      <c r="D15" s="263">
        <v>64</v>
      </c>
      <c r="E15" s="260">
        <f t="shared" si="0"/>
        <v>35209.599999999999</v>
      </c>
      <c r="F15" s="2">
        <v>0</v>
      </c>
      <c r="G15" s="2">
        <f t="shared" si="1"/>
        <v>0</v>
      </c>
      <c r="H15" s="237"/>
      <c r="I15" s="237"/>
      <c r="J15" s="484"/>
      <c r="K15" s="484"/>
      <c r="L15" s="484">
        <f t="shared" si="2"/>
        <v>0</v>
      </c>
      <c r="M15" s="484"/>
      <c r="N15" s="487"/>
      <c r="O15" s="330"/>
      <c r="P15" s="330"/>
      <c r="Q15" s="330"/>
      <c r="R15" s="330"/>
      <c r="T15" s="478"/>
      <c r="U15" s="478"/>
      <c r="V15" s="478"/>
      <c r="W15" s="478"/>
      <c r="X15" s="484"/>
      <c r="Y15" s="484"/>
      <c r="Z15" s="484">
        <f t="shared" si="3"/>
        <v>0</v>
      </c>
      <c r="AA15" s="484"/>
      <c r="AB15" s="487"/>
    </row>
    <row r="16" spans="1:28" x14ac:dyDescent="0.2">
      <c r="A16" s="3" t="s">
        <v>11</v>
      </c>
      <c r="B16" s="46"/>
      <c r="C16" s="2"/>
      <c r="D16" s="263">
        <v>96</v>
      </c>
      <c r="E16" s="260">
        <f t="shared" si="0"/>
        <v>52814.399999999994</v>
      </c>
      <c r="F16" s="2">
        <v>0</v>
      </c>
      <c r="G16" s="2">
        <f t="shared" si="1"/>
        <v>0</v>
      </c>
      <c r="H16" s="237"/>
      <c r="I16" s="237"/>
      <c r="J16" s="485"/>
      <c r="K16" s="485"/>
      <c r="L16" s="485">
        <f t="shared" si="2"/>
        <v>0</v>
      </c>
      <c r="M16" s="485"/>
      <c r="N16" s="488"/>
      <c r="O16" s="331"/>
      <c r="P16" s="331"/>
      <c r="Q16" s="331"/>
      <c r="R16" s="331"/>
      <c r="T16" s="479"/>
      <c r="U16" s="479"/>
      <c r="V16" s="479"/>
      <c r="W16" s="479"/>
      <c r="X16" s="485"/>
      <c r="Y16" s="485"/>
      <c r="Z16" s="485">
        <f t="shared" si="3"/>
        <v>0</v>
      </c>
      <c r="AA16" s="485"/>
      <c r="AB16" s="488"/>
    </row>
    <row r="17" spans="1:28" x14ac:dyDescent="0.2">
      <c r="A17" s="4" t="s">
        <v>20</v>
      </c>
      <c r="B17" s="53">
        <f>SUM(B5:B16)</f>
        <v>0</v>
      </c>
      <c r="C17" s="5">
        <f t="shared" ref="C17:G17" si="4">SUM(C5:C16)</f>
        <v>0</v>
      </c>
      <c r="D17" s="253">
        <f t="shared" si="4"/>
        <v>494</v>
      </c>
      <c r="E17" s="253">
        <f t="shared" si="4"/>
        <v>271774.09999999998</v>
      </c>
      <c r="F17" s="5">
        <f t="shared" si="4"/>
        <v>0</v>
      </c>
      <c r="G17" s="5">
        <f t="shared" si="4"/>
        <v>0</v>
      </c>
      <c r="H17" s="238"/>
      <c r="I17" s="238"/>
      <c r="J17" s="264">
        <f>SUM(J5:J16)</f>
        <v>7667.8</v>
      </c>
      <c r="K17" s="264">
        <f t="shared" ref="K17:M17" si="5">SUM(K5:K16)</f>
        <v>0</v>
      </c>
      <c r="L17" s="264">
        <f t="shared" si="5"/>
        <v>7667.8</v>
      </c>
      <c r="M17" s="264">
        <f t="shared" si="5"/>
        <v>30613.940000000002</v>
      </c>
      <c r="N17" s="242"/>
      <c r="O17" s="253">
        <v>490</v>
      </c>
      <c r="P17" s="253">
        <v>17738</v>
      </c>
      <c r="Q17" s="253">
        <v>490</v>
      </c>
      <c r="R17" s="253">
        <v>15552.6</v>
      </c>
      <c r="T17" s="103">
        <f>T5</f>
        <v>8600</v>
      </c>
      <c r="U17" s="103">
        <f t="shared" ref="U17:W17" si="6">U5</f>
        <v>0</v>
      </c>
      <c r="V17" s="103">
        <f t="shared" si="6"/>
        <v>8600</v>
      </c>
      <c r="W17" s="103">
        <f t="shared" si="6"/>
        <v>40079.230000000003</v>
      </c>
      <c r="X17" s="264">
        <f>SUM(X5:X16)</f>
        <v>2455</v>
      </c>
      <c r="Y17" s="264">
        <f t="shared" ref="Y17" si="7">SUM(Y5:Y16)</f>
        <v>0</v>
      </c>
      <c r="Z17" s="264">
        <f t="shared" ref="Z17" si="8">SUM(Z5:Z16)</f>
        <v>2455</v>
      </c>
      <c r="AA17" s="264">
        <f t="shared" ref="AA17" si="9">SUM(AA5:AA16)</f>
        <v>13524.27</v>
      </c>
      <c r="AB17" s="242"/>
    </row>
    <row r="18" spans="1:28" x14ac:dyDescent="0.2">
      <c r="A18" s="1"/>
      <c r="B18" s="1"/>
      <c r="C18" s="1"/>
      <c r="D18" s="1"/>
      <c r="E18" s="28"/>
      <c r="F18" s="54"/>
      <c r="G18" s="55"/>
      <c r="H18" s="54"/>
      <c r="I18" s="55"/>
      <c r="J18" s="29"/>
      <c r="K18" s="29"/>
      <c r="L18" s="29"/>
      <c r="M18" s="32"/>
      <c r="N18" s="32"/>
      <c r="O18" s="156" t="s">
        <v>64</v>
      </c>
      <c r="P18" s="157"/>
      <c r="Q18" s="156" t="s">
        <v>64</v>
      </c>
      <c r="R18" s="146"/>
      <c r="T18" s="213" t="s">
        <v>67</v>
      </c>
    </row>
    <row r="19" spans="1:28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47" t="s">
        <v>65</v>
      </c>
      <c r="P19" s="147"/>
      <c r="Q19" s="147" t="s">
        <v>65</v>
      </c>
      <c r="R19" s="146"/>
      <c r="T19" s="213" t="s">
        <v>156</v>
      </c>
    </row>
    <row r="20" spans="1:28" x14ac:dyDescent="0.2">
      <c r="T20" s="213" t="s">
        <v>157</v>
      </c>
    </row>
    <row r="23" spans="1:28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304"/>
      <c r="K23" s="305"/>
      <c r="L23" s="305"/>
      <c r="M23" s="306"/>
      <c r="N23" s="233"/>
      <c r="O23" s="362" t="s">
        <v>60</v>
      </c>
      <c r="P23" s="362"/>
      <c r="Q23" s="362" t="s">
        <v>66</v>
      </c>
      <c r="R23" s="362"/>
    </row>
    <row r="24" spans="1:28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304" t="s">
        <v>14</v>
      </c>
      <c r="K24" s="305"/>
      <c r="L24" s="305"/>
      <c r="M24" s="306"/>
      <c r="N24" s="233"/>
      <c r="O24" s="361" t="s">
        <v>62</v>
      </c>
      <c r="P24" s="361"/>
      <c r="Q24" s="361" t="s">
        <v>63</v>
      </c>
      <c r="R24" s="361"/>
    </row>
    <row r="25" spans="1:28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8" t="s">
        <v>35</v>
      </c>
      <c r="K25" s="8" t="s">
        <v>36</v>
      </c>
      <c r="L25" s="8" t="s">
        <v>37</v>
      </c>
      <c r="M25" s="8" t="s">
        <v>17</v>
      </c>
      <c r="N25" s="8"/>
      <c r="O25" s="153" t="s">
        <v>23</v>
      </c>
      <c r="P25" s="153" t="s">
        <v>17</v>
      </c>
      <c r="Q25" s="153" t="s">
        <v>23</v>
      </c>
      <c r="R25" s="153" t="s">
        <v>17</v>
      </c>
    </row>
    <row r="26" spans="1:28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145"/>
      <c r="I26" s="145"/>
      <c r="J26" s="141"/>
      <c r="K26" s="141"/>
      <c r="L26" s="141">
        <f>J26+K26</f>
        <v>0</v>
      </c>
      <c r="M26" s="141"/>
      <c r="N26" s="239"/>
      <c r="O26" s="480">
        <v>53</v>
      </c>
      <c r="P26" s="480">
        <v>2146.5</v>
      </c>
      <c r="Q26" s="480">
        <v>53</v>
      </c>
      <c r="R26" s="480">
        <v>1853.94</v>
      </c>
    </row>
    <row r="27" spans="1:28" x14ac:dyDescent="0.2">
      <c r="A27" s="3" t="s">
        <v>1</v>
      </c>
      <c r="B27" s="46">
        <f t="shared" ref="B27:C37" si="10">D27+F27</f>
        <v>0</v>
      </c>
      <c r="C27" s="2">
        <f t="shared" si="10"/>
        <v>0</v>
      </c>
      <c r="D27" s="52"/>
      <c r="E27" s="16">
        <f t="shared" ref="E27:E37" si="11">D27*513.8</f>
        <v>0</v>
      </c>
      <c r="F27" s="2">
        <v>0</v>
      </c>
      <c r="G27" s="2">
        <f t="shared" ref="G27:G37" si="12">F27*336.1423</f>
        <v>0</v>
      </c>
      <c r="H27" s="145"/>
      <c r="I27" s="145"/>
      <c r="J27" s="141"/>
      <c r="K27" s="141"/>
      <c r="L27" s="141">
        <f t="shared" ref="L27:L38" si="13">J27+K27</f>
        <v>0</v>
      </c>
      <c r="M27" s="141"/>
      <c r="N27" s="240"/>
      <c r="O27" s="481"/>
      <c r="P27" s="481"/>
      <c r="Q27" s="481"/>
      <c r="R27" s="481"/>
    </row>
    <row r="28" spans="1:28" x14ac:dyDescent="0.2">
      <c r="A28" s="3" t="s">
        <v>2</v>
      </c>
      <c r="B28" s="46">
        <f t="shared" si="10"/>
        <v>0</v>
      </c>
      <c r="C28" s="2">
        <f t="shared" si="10"/>
        <v>0</v>
      </c>
      <c r="D28" s="52"/>
      <c r="E28" s="16">
        <f t="shared" si="11"/>
        <v>0</v>
      </c>
      <c r="F28" s="2">
        <v>0</v>
      </c>
      <c r="G28" s="2">
        <f t="shared" si="12"/>
        <v>0</v>
      </c>
      <c r="H28" s="145"/>
      <c r="I28" s="145"/>
      <c r="J28" s="141"/>
      <c r="K28" s="141"/>
      <c r="L28" s="141">
        <f t="shared" si="13"/>
        <v>0</v>
      </c>
      <c r="M28" s="141"/>
      <c r="N28" s="240"/>
      <c r="O28" s="481"/>
      <c r="P28" s="481"/>
      <c r="Q28" s="481"/>
      <c r="R28" s="481"/>
    </row>
    <row r="29" spans="1:28" x14ac:dyDescent="0.2">
      <c r="A29" s="3" t="s">
        <v>3</v>
      </c>
      <c r="B29" s="46">
        <f t="shared" si="10"/>
        <v>0</v>
      </c>
      <c r="C29" s="2">
        <f t="shared" si="10"/>
        <v>0</v>
      </c>
      <c r="D29" s="52"/>
      <c r="E29" s="16">
        <f t="shared" si="11"/>
        <v>0</v>
      </c>
      <c r="F29" s="2">
        <v>0</v>
      </c>
      <c r="G29" s="2">
        <f t="shared" si="12"/>
        <v>0</v>
      </c>
      <c r="H29" s="145"/>
      <c r="I29" s="145"/>
      <c r="J29" s="141"/>
      <c r="K29" s="141"/>
      <c r="L29" s="141">
        <f t="shared" si="13"/>
        <v>0</v>
      </c>
      <c r="M29" s="141"/>
      <c r="N29" s="241"/>
      <c r="O29" s="482"/>
      <c r="P29" s="482"/>
      <c r="Q29" s="482"/>
      <c r="R29" s="482"/>
    </row>
    <row r="30" spans="1:28" x14ac:dyDescent="0.2">
      <c r="A30" s="3" t="s">
        <v>4</v>
      </c>
      <c r="B30" s="46">
        <f t="shared" si="10"/>
        <v>0</v>
      </c>
      <c r="C30" s="2">
        <f t="shared" si="10"/>
        <v>0</v>
      </c>
      <c r="D30" s="52"/>
      <c r="E30" s="16">
        <f t="shared" si="11"/>
        <v>0</v>
      </c>
      <c r="F30" s="2">
        <v>0</v>
      </c>
      <c r="G30" s="2">
        <f t="shared" si="12"/>
        <v>0</v>
      </c>
      <c r="H30" s="145"/>
      <c r="I30" s="145"/>
      <c r="J30" s="141"/>
      <c r="K30" s="141"/>
      <c r="L30" s="141">
        <f t="shared" si="13"/>
        <v>0</v>
      </c>
      <c r="M30" s="141"/>
      <c r="N30" s="239"/>
      <c r="O30" s="480">
        <v>121</v>
      </c>
      <c r="P30" s="480">
        <v>4900.5</v>
      </c>
      <c r="Q30" s="480">
        <v>121</v>
      </c>
      <c r="R30" s="480">
        <v>4232.58</v>
      </c>
    </row>
    <row r="31" spans="1:28" x14ac:dyDescent="0.2">
      <c r="A31" s="3" t="s">
        <v>5</v>
      </c>
      <c r="B31" s="46">
        <f t="shared" si="10"/>
        <v>0</v>
      </c>
      <c r="C31" s="2">
        <f t="shared" si="10"/>
        <v>0</v>
      </c>
      <c r="D31" s="52"/>
      <c r="E31" s="16">
        <f t="shared" si="11"/>
        <v>0</v>
      </c>
      <c r="F31" s="2">
        <v>0</v>
      </c>
      <c r="G31" s="2">
        <f t="shared" si="12"/>
        <v>0</v>
      </c>
      <c r="H31" s="145"/>
      <c r="I31" s="145"/>
      <c r="J31" s="141"/>
      <c r="K31" s="141"/>
      <c r="L31" s="141">
        <f t="shared" si="13"/>
        <v>0</v>
      </c>
      <c r="M31" s="141"/>
      <c r="N31" s="240"/>
      <c r="O31" s="481"/>
      <c r="P31" s="481"/>
      <c r="Q31" s="481"/>
      <c r="R31" s="481"/>
    </row>
    <row r="32" spans="1:28" x14ac:dyDescent="0.2">
      <c r="A32" s="3" t="s">
        <v>6</v>
      </c>
      <c r="B32" s="46">
        <f t="shared" si="10"/>
        <v>0</v>
      </c>
      <c r="C32" s="2">
        <f t="shared" si="10"/>
        <v>0</v>
      </c>
      <c r="D32" s="52"/>
      <c r="E32" s="16">
        <f t="shared" si="11"/>
        <v>0</v>
      </c>
      <c r="F32" s="2">
        <v>0</v>
      </c>
      <c r="G32" s="2">
        <f t="shared" si="12"/>
        <v>0</v>
      </c>
      <c r="H32" s="145"/>
      <c r="I32" s="145"/>
      <c r="J32" s="141"/>
      <c r="K32" s="141"/>
      <c r="L32" s="141">
        <f t="shared" si="13"/>
        <v>0</v>
      </c>
      <c r="M32" s="141"/>
      <c r="N32" s="240"/>
      <c r="O32" s="481"/>
      <c r="P32" s="481"/>
      <c r="Q32" s="481"/>
      <c r="R32" s="481"/>
    </row>
    <row r="33" spans="1:18" x14ac:dyDescent="0.2">
      <c r="A33" s="3" t="s">
        <v>7</v>
      </c>
      <c r="B33" s="46">
        <f t="shared" si="10"/>
        <v>0</v>
      </c>
      <c r="C33" s="2">
        <f t="shared" si="10"/>
        <v>0</v>
      </c>
      <c r="D33" s="52"/>
      <c r="E33" s="16">
        <f t="shared" si="11"/>
        <v>0</v>
      </c>
      <c r="F33" s="2">
        <v>0</v>
      </c>
      <c r="G33" s="2">
        <f t="shared" si="12"/>
        <v>0</v>
      </c>
      <c r="H33" s="145"/>
      <c r="I33" s="145"/>
      <c r="J33" s="141"/>
      <c r="K33" s="141"/>
      <c r="L33" s="141">
        <f t="shared" si="13"/>
        <v>0</v>
      </c>
      <c r="M33" s="141"/>
      <c r="N33" s="240"/>
      <c r="O33" s="481"/>
      <c r="P33" s="481"/>
      <c r="Q33" s="481"/>
      <c r="R33" s="481"/>
    </row>
    <row r="34" spans="1:18" x14ac:dyDescent="0.2">
      <c r="A34" s="3" t="s">
        <v>8</v>
      </c>
      <c r="B34" s="46">
        <f t="shared" si="10"/>
        <v>0</v>
      </c>
      <c r="C34" s="2">
        <f t="shared" si="10"/>
        <v>0</v>
      </c>
      <c r="D34" s="52"/>
      <c r="E34" s="16">
        <f t="shared" si="11"/>
        <v>0</v>
      </c>
      <c r="F34" s="2">
        <v>0</v>
      </c>
      <c r="G34" s="2">
        <f t="shared" si="12"/>
        <v>0</v>
      </c>
      <c r="H34" s="145"/>
      <c r="I34" s="145"/>
      <c r="J34" s="141"/>
      <c r="K34" s="141"/>
      <c r="L34" s="141">
        <f t="shared" si="13"/>
        <v>0</v>
      </c>
      <c r="M34" s="141"/>
      <c r="N34" s="240"/>
      <c r="O34" s="481"/>
      <c r="P34" s="481"/>
      <c r="Q34" s="481"/>
      <c r="R34" s="481"/>
    </row>
    <row r="35" spans="1:18" x14ac:dyDescent="0.2">
      <c r="A35" s="3" t="s">
        <v>9</v>
      </c>
      <c r="B35" s="46">
        <f t="shared" si="10"/>
        <v>0</v>
      </c>
      <c r="C35" s="2">
        <f t="shared" si="10"/>
        <v>0</v>
      </c>
      <c r="D35" s="52"/>
      <c r="E35" s="16">
        <f t="shared" si="11"/>
        <v>0</v>
      </c>
      <c r="F35" s="2">
        <v>0</v>
      </c>
      <c r="G35" s="2">
        <f t="shared" si="12"/>
        <v>0</v>
      </c>
      <c r="H35" s="145"/>
      <c r="I35" s="145"/>
      <c r="J35" s="141"/>
      <c r="K35" s="141"/>
      <c r="L35" s="141">
        <f t="shared" si="13"/>
        <v>0</v>
      </c>
      <c r="M35" s="141"/>
      <c r="N35" s="240"/>
      <c r="O35" s="481"/>
      <c r="P35" s="481"/>
      <c r="Q35" s="481"/>
      <c r="R35" s="481"/>
    </row>
    <row r="36" spans="1:18" x14ac:dyDescent="0.2">
      <c r="A36" s="3" t="s">
        <v>10</v>
      </c>
      <c r="B36" s="46">
        <f t="shared" si="10"/>
        <v>0</v>
      </c>
      <c r="C36" s="2">
        <f t="shared" si="10"/>
        <v>0</v>
      </c>
      <c r="D36" s="52"/>
      <c r="E36" s="16">
        <f t="shared" si="11"/>
        <v>0</v>
      </c>
      <c r="F36" s="2">
        <v>0</v>
      </c>
      <c r="G36" s="2">
        <f t="shared" si="12"/>
        <v>0</v>
      </c>
      <c r="H36" s="145"/>
      <c r="I36" s="145"/>
      <c r="J36" s="141"/>
      <c r="K36" s="141"/>
      <c r="L36" s="141">
        <f t="shared" si="13"/>
        <v>0</v>
      </c>
      <c r="M36" s="141"/>
      <c r="N36" s="240"/>
      <c r="O36" s="481"/>
      <c r="P36" s="481"/>
      <c r="Q36" s="481"/>
      <c r="R36" s="481"/>
    </row>
    <row r="37" spans="1:18" x14ac:dyDescent="0.2">
      <c r="A37" s="3" t="s">
        <v>11</v>
      </c>
      <c r="B37" s="46">
        <f t="shared" si="10"/>
        <v>0</v>
      </c>
      <c r="C37" s="2">
        <f t="shared" si="10"/>
        <v>0</v>
      </c>
      <c r="D37" s="52"/>
      <c r="E37" s="16">
        <f t="shared" si="11"/>
        <v>0</v>
      </c>
      <c r="F37" s="2">
        <v>0</v>
      </c>
      <c r="G37" s="2">
        <f t="shared" si="12"/>
        <v>0</v>
      </c>
      <c r="H37" s="145"/>
      <c r="I37" s="145"/>
      <c r="J37" s="141"/>
      <c r="K37" s="141"/>
      <c r="L37" s="141">
        <f t="shared" si="13"/>
        <v>0</v>
      </c>
      <c r="M37" s="141"/>
      <c r="N37" s="241"/>
      <c r="O37" s="482"/>
      <c r="P37" s="482"/>
      <c r="Q37" s="482"/>
      <c r="R37" s="482"/>
    </row>
    <row r="38" spans="1:18" x14ac:dyDescent="0.2">
      <c r="A38" s="4" t="s">
        <v>20</v>
      </c>
      <c r="B38" s="53">
        <f>SUM(B26:B37)</f>
        <v>0</v>
      </c>
      <c r="C38" s="5">
        <f t="shared" ref="C38:G38" si="14">SUM(C26:C37)</f>
        <v>0</v>
      </c>
      <c r="D38" s="53">
        <f t="shared" si="14"/>
        <v>0</v>
      </c>
      <c r="E38" s="5">
        <f t="shared" si="14"/>
        <v>0</v>
      </c>
      <c r="F38" s="5">
        <f t="shared" si="14"/>
        <v>0</v>
      </c>
      <c r="G38" s="5">
        <f t="shared" si="14"/>
        <v>0</v>
      </c>
      <c r="H38" s="144"/>
      <c r="I38" s="144"/>
      <c r="J38" s="144"/>
      <c r="K38" s="144"/>
      <c r="L38" s="141">
        <f t="shared" si="13"/>
        <v>0</v>
      </c>
      <c r="M38" s="144"/>
      <c r="N38" s="144"/>
      <c r="O38" s="150">
        <v>174</v>
      </c>
      <c r="P38" s="150">
        <v>7047</v>
      </c>
      <c r="Q38" s="150">
        <v>174</v>
      </c>
      <c r="R38" s="150">
        <v>6086.52</v>
      </c>
    </row>
    <row r="39" spans="1:18" x14ac:dyDescent="0.2">
      <c r="O39" s="156" t="s">
        <v>67</v>
      </c>
      <c r="P39" s="157"/>
      <c r="Q39" s="156" t="s">
        <v>67</v>
      </c>
      <c r="R39" s="157"/>
    </row>
    <row r="40" spans="1:18" x14ac:dyDescent="0.2">
      <c r="O40" s="199" t="s">
        <v>68</v>
      </c>
      <c r="P40" s="147"/>
      <c r="Q40" s="199" t="s">
        <v>68</v>
      </c>
      <c r="R40" s="147"/>
    </row>
    <row r="41" spans="1:18" x14ac:dyDescent="0.2">
      <c r="O41" s="160" t="s">
        <v>69</v>
      </c>
      <c r="P41" s="146"/>
      <c r="Q41" s="160" t="s">
        <v>69</v>
      </c>
      <c r="R41" s="146"/>
    </row>
    <row r="44" spans="1:18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335"/>
      <c r="K44" s="335"/>
      <c r="L44" s="335"/>
      <c r="M44" s="335"/>
      <c r="N44" s="232"/>
      <c r="O44" s="322"/>
      <c r="P44" s="322"/>
    </row>
    <row r="45" spans="1:18" x14ac:dyDescent="0.2">
      <c r="A45" s="320"/>
      <c r="B45" s="7"/>
      <c r="C45" s="7"/>
      <c r="D45" s="7"/>
      <c r="E45" s="7"/>
      <c r="F45" s="7"/>
      <c r="G45" s="7"/>
      <c r="H45" s="20"/>
      <c r="I45" s="20"/>
      <c r="J45" s="8"/>
      <c r="K45" s="8"/>
      <c r="L45" s="8"/>
      <c r="M45" s="8"/>
      <c r="N45" s="8"/>
      <c r="O45" s="9"/>
      <c r="P45" s="9"/>
    </row>
    <row r="46" spans="1:18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8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18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16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16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</row>
    <row r="51" spans="1:16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</row>
    <row r="52" spans="1:16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</row>
    <row r="53" spans="1:16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</row>
    <row r="54" spans="1:16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</row>
    <row r="55" spans="1:16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</row>
    <row r="56" spans="1:16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</row>
    <row r="57" spans="1:16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</row>
    <row r="58" spans="1:16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</sheetData>
  <mergeCells count="77">
    <mergeCell ref="AB5:AB7"/>
    <mergeCell ref="X8:X16"/>
    <mergeCell ref="Y8:Y16"/>
    <mergeCell ref="Z8:Z16"/>
    <mergeCell ref="AA8:AA16"/>
    <mergeCell ref="AB8:AB16"/>
    <mergeCell ref="X2:AA2"/>
    <mergeCell ref="X3:AA3"/>
    <mergeCell ref="X5:X7"/>
    <mergeCell ref="Y5:Y7"/>
    <mergeCell ref="Z5:Z7"/>
    <mergeCell ref="AA5:AA7"/>
    <mergeCell ref="J5:J7"/>
    <mergeCell ref="K5:K7"/>
    <mergeCell ref="L5:L7"/>
    <mergeCell ref="M5:M7"/>
    <mergeCell ref="N5:N7"/>
    <mergeCell ref="J8:J16"/>
    <mergeCell ref="K8:K16"/>
    <mergeCell ref="L8:L16"/>
    <mergeCell ref="M8:M16"/>
    <mergeCell ref="N8:N16"/>
    <mergeCell ref="O44:P44"/>
    <mergeCell ref="A44:A45"/>
    <mergeCell ref="B44:C44"/>
    <mergeCell ref="D44:E44"/>
    <mergeCell ref="F44:G44"/>
    <mergeCell ref="H44:I44"/>
    <mergeCell ref="J44:M44"/>
    <mergeCell ref="J3:M3"/>
    <mergeCell ref="J2:M2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J24:M24"/>
    <mergeCell ref="J23:M23"/>
    <mergeCell ref="A2:A4"/>
    <mergeCell ref="B2:C2"/>
    <mergeCell ref="D2:E2"/>
    <mergeCell ref="F2:G2"/>
    <mergeCell ref="H2:I2"/>
    <mergeCell ref="B3:C3"/>
    <mergeCell ref="D3:E3"/>
    <mergeCell ref="F3:G3"/>
    <mergeCell ref="H3:I3"/>
    <mergeCell ref="O30:O37"/>
    <mergeCell ref="P30:P37"/>
    <mergeCell ref="Q30:Q37"/>
    <mergeCell ref="R30:R37"/>
    <mergeCell ref="Q23:R23"/>
    <mergeCell ref="Q24:R24"/>
    <mergeCell ref="O26:O29"/>
    <mergeCell ref="P26:P29"/>
    <mergeCell ref="Q26:Q29"/>
    <mergeCell ref="R26:R29"/>
    <mergeCell ref="O23:P23"/>
    <mergeCell ref="O24:P24"/>
    <mergeCell ref="Q2:R2"/>
    <mergeCell ref="Q3:R3"/>
    <mergeCell ref="O5:O16"/>
    <mergeCell ref="P5:P16"/>
    <mergeCell ref="Q5:Q16"/>
    <mergeCell ref="R5:R16"/>
    <mergeCell ref="O2:P2"/>
    <mergeCell ref="O3:P3"/>
    <mergeCell ref="T2:W2"/>
    <mergeCell ref="T3:W3"/>
    <mergeCell ref="T5:T16"/>
    <mergeCell ref="U5:U16"/>
    <mergeCell ref="V5:V16"/>
    <mergeCell ref="W5:W16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D3EAE-36F8-447A-8641-44D6E78345B2}">
  <sheetPr>
    <tabColor theme="0"/>
  </sheetPr>
  <dimension ref="A1:S58"/>
  <sheetViews>
    <sheetView workbookViewId="0">
      <selection activeCell="A44" sqref="A44:P58"/>
    </sheetView>
  </sheetViews>
  <sheetFormatPr defaultRowHeight="12.75" x14ac:dyDescent="0.2"/>
  <cols>
    <col min="1" max="1" width="12.7109375" customWidth="1"/>
    <col min="2" max="16" width="11.7109375" customWidth="1"/>
    <col min="19" max="19" width="11.7109375" customWidth="1"/>
  </cols>
  <sheetData>
    <row r="1" spans="1:19" ht="15" x14ac:dyDescent="0.2">
      <c r="A1" s="21" t="s">
        <v>175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57" t="s">
        <v>33</v>
      </c>
    </row>
    <row r="2" spans="1:19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467" t="s">
        <v>181</v>
      </c>
      <c r="K2" s="468"/>
      <c r="L2" s="468"/>
      <c r="M2" s="469"/>
      <c r="N2" s="235"/>
      <c r="O2" s="470" t="s">
        <v>201</v>
      </c>
      <c r="P2" s="470"/>
      <c r="Q2" s="362"/>
      <c r="R2" s="362"/>
      <c r="S2" s="231" t="s">
        <v>202</v>
      </c>
    </row>
    <row r="3" spans="1:19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304" t="s">
        <v>14</v>
      </c>
      <c r="K3" s="305"/>
      <c r="L3" s="305"/>
      <c r="M3" s="306"/>
      <c r="N3" s="233"/>
      <c r="O3" s="322" t="s">
        <v>62</v>
      </c>
      <c r="P3" s="322"/>
      <c r="Q3" s="361" t="s">
        <v>63</v>
      </c>
      <c r="R3" s="361"/>
      <c r="S3" s="231"/>
    </row>
    <row r="4" spans="1:19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8" t="s">
        <v>35</v>
      </c>
      <c r="K4" s="8" t="s">
        <v>36</v>
      </c>
      <c r="L4" s="8" t="s">
        <v>37</v>
      </c>
      <c r="M4" s="8" t="s">
        <v>17</v>
      </c>
      <c r="N4" s="8" t="s">
        <v>182</v>
      </c>
      <c r="O4" s="9" t="s">
        <v>23</v>
      </c>
      <c r="P4" s="9" t="s">
        <v>24</v>
      </c>
      <c r="Q4" s="153" t="s">
        <v>23</v>
      </c>
      <c r="R4" s="153" t="s">
        <v>24</v>
      </c>
      <c r="S4" s="9" t="s">
        <v>182</v>
      </c>
    </row>
    <row r="5" spans="1:19" ht="12.75" customHeight="1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"/>
      <c r="I5" s="2"/>
      <c r="J5" s="26"/>
      <c r="K5" s="26"/>
      <c r="L5" s="26">
        <f>J5+K5</f>
        <v>0</v>
      </c>
      <c r="M5" s="26"/>
      <c r="N5" s="26"/>
      <c r="O5" s="461">
        <v>0</v>
      </c>
      <c r="P5" s="461">
        <f>O5*36.2</f>
        <v>0</v>
      </c>
      <c r="Q5" s="461">
        <v>41</v>
      </c>
      <c r="R5" s="461">
        <f>Q5*31.74</f>
        <v>1301.3399999999999</v>
      </c>
      <c r="S5" s="461" t="s">
        <v>203</v>
      </c>
    </row>
    <row r="6" spans="1:19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"/>
      <c r="I6" s="2"/>
      <c r="J6" s="26"/>
      <c r="K6" s="26"/>
      <c r="L6" s="26">
        <f t="shared" ref="L6:L17" si="3">J6+K6</f>
        <v>0</v>
      </c>
      <c r="M6" s="26"/>
      <c r="N6" s="26"/>
      <c r="O6" s="462"/>
      <c r="P6" s="462">
        <f t="shared" ref="P6:P16" si="4">O6*58.26</f>
        <v>0</v>
      </c>
      <c r="Q6" s="462"/>
      <c r="R6" s="462"/>
      <c r="S6" s="462"/>
    </row>
    <row r="7" spans="1:19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"/>
      <c r="I7" s="2"/>
      <c r="J7" s="26"/>
      <c r="K7" s="26"/>
      <c r="L7" s="26">
        <f t="shared" si="3"/>
        <v>0</v>
      </c>
      <c r="M7" s="26"/>
      <c r="N7" s="26"/>
      <c r="O7" s="462"/>
      <c r="P7" s="462">
        <f t="shared" si="4"/>
        <v>0</v>
      </c>
      <c r="Q7" s="462"/>
      <c r="R7" s="462"/>
      <c r="S7" s="462"/>
    </row>
    <row r="8" spans="1:19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"/>
      <c r="I8" s="2"/>
      <c r="J8" s="26"/>
      <c r="K8" s="26"/>
      <c r="L8" s="26">
        <f t="shared" si="3"/>
        <v>0</v>
      </c>
      <c r="M8" s="26"/>
      <c r="N8" s="26"/>
      <c r="O8" s="462"/>
      <c r="P8" s="462">
        <f t="shared" si="4"/>
        <v>0</v>
      </c>
      <c r="Q8" s="462"/>
      <c r="R8" s="462"/>
      <c r="S8" s="462"/>
    </row>
    <row r="9" spans="1:19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"/>
      <c r="I9" s="2"/>
      <c r="J9" s="26"/>
      <c r="K9" s="26"/>
      <c r="L9" s="26">
        <f t="shared" si="3"/>
        <v>0</v>
      </c>
      <c r="M9" s="26"/>
      <c r="N9" s="26"/>
      <c r="O9" s="462"/>
      <c r="P9" s="462">
        <f t="shared" si="4"/>
        <v>0</v>
      </c>
      <c r="Q9" s="462"/>
      <c r="R9" s="462"/>
      <c r="S9" s="462"/>
    </row>
    <row r="10" spans="1:19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"/>
      <c r="I10" s="2"/>
      <c r="J10" s="26"/>
      <c r="K10" s="26"/>
      <c r="L10" s="26">
        <f t="shared" si="3"/>
        <v>0</v>
      </c>
      <c r="M10" s="26"/>
      <c r="N10" s="26"/>
      <c r="O10" s="462"/>
      <c r="P10" s="462">
        <f t="shared" si="4"/>
        <v>0</v>
      </c>
      <c r="Q10" s="462"/>
      <c r="R10" s="462"/>
      <c r="S10" s="462"/>
    </row>
    <row r="11" spans="1:19" ht="12.75" customHeight="1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"/>
      <c r="I11" s="2"/>
      <c r="J11" s="26"/>
      <c r="K11" s="26"/>
      <c r="L11" s="26">
        <f t="shared" si="3"/>
        <v>0</v>
      </c>
      <c r="M11" s="26"/>
      <c r="N11" s="26"/>
      <c r="O11" s="462">
        <v>4112</v>
      </c>
      <c r="P11" s="462">
        <f>O11*36.2</f>
        <v>148854.40000000002</v>
      </c>
      <c r="Q11" s="462">
        <f>O11</f>
        <v>4112</v>
      </c>
      <c r="R11" s="462">
        <f>Q11*31.74</f>
        <v>130514.87999999999</v>
      </c>
      <c r="S11" s="462"/>
    </row>
    <row r="12" spans="1:19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"/>
      <c r="I12" s="2"/>
      <c r="J12" s="311">
        <v>19794</v>
      </c>
      <c r="K12" s="311"/>
      <c r="L12" s="311">
        <f t="shared" si="3"/>
        <v>19794</v>
      </c>
      <c r="M12" s="311">
        <v>70754.899999999994</v>
      </c>
      <c r="N12" s="464" t="s">
        <v>183</v>
      </c>
      <c r="O12" s="462"/>
      <c r="P12" s="462">
        <f t="shared" si="4"/>
        <v>0</v>
      </c>
      <c r="Q12" s="462"/>
      <c r="R12" s="462"/>
      <c r="S12" s="462"/>
    </row>
    <row r="13" spans="1:19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"/>
      <c r="I13" s="2"/>
      <c r="J13" s="312"/>
      <c r="K13" s="312"/>
      <c r="L13" s="312">
        <f t="shared" si="3"/>
        <v>0</v>
      </c>
      <c r="M13" s="312"/>
      <c r="N13" s="465"/>
      <c r="O13" s="462"/>
      <c r="P13" s="462">
        <f t="shared" si="4"/>
        <v>0</v>
      </c>
      <c r="Q13" s="462"/>
      <c r="R13" s="462"/>
      <c r="S13" s="462"/>
    </row>
    <row r="14" spans="1:19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"/>
      <c r="I14" s="2"/>
      <c r="J14" s="312"/>
      <c r="K14" s="312"/>
      <c r="L14" s="312">
        <f t="shared" si="3"/>
        <v>0</v>
      </c>
      <c r="M14" s="312"/>
      <c r="N14" s="465"/>
      <c r="O14" s="462"/>
      <c r="P14" s="462">
        <f t="shared" si="4"/>
        <v>0</v>
      </c>
      <c r="Q14" s="462"/>
      <c r="R14" s="462"/>
      <c r="S14" s="462"/>
    </row>
    <row r="15" spans="1:19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"/>
      <c r="I15" s="2"/>
      <c r="J15" s="312"/>
      <c r="K15" s="312"/>
      <c r="L15" s="312">
        <f t="shared" si="3"/>
        <v>0</v>
      </c>
      <c r="M15" s="312"/>
      <c r="N15" s="465"/>
      <c r="O15" s="462"/>
      <c r="P15" s="462">
        <f t="shared" si="4"/>
        <v>0</v>
      </c>
      <c r="Q15" s="462"/>
      <c r="R15" s="462"/>
      <c r="S15" s="462"/>
    </row>
    <row r="16" spans="1:19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"/>
      <c r="I16" s="2"/>
      <c r="J16" s="312"/>
      <c r="K16" s="312"/>
      <c r="L16" s="312">
        <f t="shared" si="3"/>
        <v>0</v>
      </c>
      <c r="M16" s="312"/>
      <c r="N16" s="465"/>
      <c r="O16" s="463"/>
      <c r="P16" s="463">
        <f t="shared" si="4"/>
        <v>0</v>
      </c>
      <c r="Q16" s="463"/>
      <c r="R16" s="463"/>
      <c r="S16" s="463"/>
    </row>
    <row r="17" spans="1:19" x14ac:dyDescent="0.2">
      <c r="A17" s="4" t="s">
        <v>20</v>
      </c>
      <c r="B17" s="53">
        <f>SUM(B5:B16)</f>
        <v>0</v>
      </c>
      <c r="C17" s="5">
        <f t="shared" ref="C17:G17" si="5">SUM(C5:C16)</f>
        <v>0</v>
      </c>
      <c r="D17" s="53">
        <f t="shared" si="5"/>
        <v>0</v>
      </c>
      <c r="E17" s="5">
        <f t="shared" si="5"/>
        <v>0</v>
      </c>
      <c r="F17" s="5">
        <f t="shared" si="5"/>
        <v>0</v>
      </c>
      <c r="G17" s="5">
        <f t="shared" si="5"/>
        <v>0</v>
      </c>
      <c r="H17" s="5"/>
      <c r="I17" s="5"/>
      <c r="J17" s="345"/>
      <c r="K17" s="345"/>
      <c r="L17" s="345">
        <f t="shared" si="3"/>
        <v>0</v>
      </c>
      <c r="M17" s="345"/>
      <c r="N17" s="466"/>
      <c r="O17" s="5"/>
      <c r="P17" s="5"/>
      <c r="Q17" s="103">
        <f>SUM(Q5)</f>
        <v>41</v>
      </c>
      <c r="R17" s="103">
        <f>SUM(R5)</f>
        <v>1301.3399999999999</v>
      </c>
      <c r="S17" s="5"/>
    </row>
    <row r="18" spans="1:19" x14ac:dyDescent="0.2">
      <c r="A18" s="1"/>
      <c r="B18" s="1"/>
      <c r="C18" s="1"/>
      <c r="D18" s="1"/>
      <c r="E18" s="28"/>
      <c r="F18" s="54"/>
      <c r="G18" s="55"/>
      <c r="H18" s="54"/>
      <c r="I18" s="55"/>
      <c r="J18" s="29"/>
      <c r="K18" s="29"/>
      <c r="L18" s="29"/>
      <c r="M18" s="32"/>
      <c r="N18" s="32"/>
      <c r="O18" s="27"/>
      <c r="P18" s="32"/>
    </row>
    <row r="19" spans="1:19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3" spans="1:19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304"/>
      <c r="K23" s="305"/>
      <c r="L23" s="305"/>
      <c r="M23" s="306"/>
      <c r="N23" s="233"/>
      <c r="O23" s="322"/>
      <c r="P23" s="322"/>
    </row>
    <row r="24" spans="1:19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304" t="s">
        <v>14</v>
      </c>
      <c r="K24" s="305"/>
      <c r="L24" s="305"/>
      <c r="M24" s="306"/>
      <c r="N24" s="233"/>
      <c r="O24" s="322" t="s">
        <v>15</v>
      </c>
      <c r="P24" s="322"/>
    </row>
    <row r="25" spans="1:19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8" t="s">
        <v>35</v>
      </c>
      <c r="K25" s="8" t="s">
        <v>36</v>
      </c>
      <c r="L25" s="8" t="s">
        <v>37</v>
      </c>
      <c r="M25" s="8" t="s">
        <v>17</v>
      </c>
      <c r="N25" s="8"/>
      <c r="O25" s="9" t="s">
        <v>23</v>
      </c>
      <c r="P25" s="9" t="s">
        <v>24</v>
      </c>
    </row>
    <row r="26" spans="1:19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2"/>
      <c r="I26" s="2"/>
      <c r="J26" s="26"/>
      <c r="K26" s="26"/>
      <c r="L26" s="26">
        <f>J26+K26</f>
        <v>0</v>
      </c>
      <c r="M26" s="26"/>
      <c r="N26" s="26"/>
      <c r="O26" s="50"/>
      <c r="P26" s="16">
        <f>O26*58.26</f>
        <v>0</v>
      </c>
    </row>
    <row r="27" spans="1:19" x14ac:dyDescent="0.2">
      <c r="A27" s="3" t="s">
        <v>1</v>
      </c>
      <c r="B27" s="46">
        <f t="shared" ref="B27:C37" si="6">D27+F27</f>
        <v>0</v>
      </c>
      <c r="C27" s="2">
        <f t="shared" si="6"/>
        <v>0</v>
      </c>
      <c r="D27" s="52"/>
      <c r="E27" s="16">
        <f t="shared" ref="E27:E37" si="7">D27*513.8</f>
        <v>0</v>
      </c>
      <c r="F27" s="2">
        <v>0</v>
      </c>
      <c r="G27" s="2">
        <f t="shared" ref="G27:G37" si="8">F27*336.1423</f>
        <v>0</v>
      </c>
      <c r="H27" s="2"/>
      <c r="I27" s="2"/>
      <c r="J27" s="26"/>
      <c r="K27" s="26"/>
      <c r="L27" s="26">
        <f t="shared" ref="L27:L38" si="9">J27+K27</f>
        <v>0</v>
      </c>
      <c r="M27" s="26"/>
      <c r="N27" s="26"/>
      <c r="O27" s="50"/>
      <c r="P27" s="16">
        <f t="shared" ref="P27:P37" si="10">O27*58.26</f>
        <v>0</v>
      </c>
    </row>
    <row r="28" spans="1:19" x14ac:dyDescent="0.2">
      <c r="A28" s="3" t="s">
        <v>2</v>
      </c>
      <c r="B28" s="46">
        <f t="shared" si="6"/>
        <v>0</v>
      </c>
      <c r="C28" s="2">
        <f t="shared" si="6"/>
        <v>0</v>
      </c>
      <c r="D28" s="52"/>
      <c r="E28" s="16">
        <f t="shared" si="7"/>
        <v>0</v>
      </c>
      <c r="F28" s="2">
        <v>0</v>
      </c>
      <c r="G28" s="2">
        <f t="shared" si="8"/>
        <v>0</v>
      </c>
      <c r="H28" s="2"/>
      <c r="I28" s="2"/>
      <c r="J28" s="26"/>
      <c r="K28" s="26"/>
      <c r="L28" s="26">
        <f t="shared" si="9"/>
        <v>0</v>
      </c>
      <c r="M28" s="26"/>
      <c r="N28" s="26"/>
      <c r="O28" s="50"/>
      <c r="P28" s="16">
        <f t="shared" si="10"/>
        <v>0</v>
      </c>
    </row>
    <row r="29" spans="1:19" x14ac:dyDescent="0.2">
      <c r="A29" s="3" t="s">
        <v>3</v>
      </c>
      <c r="B29" s="46">
        <f t="shared" si="6"/>
        <v>0</v>
      </c>
      <c r="C29" s="2">
        <f t="shared" si="6"/>
        <v>0</v>
      </c>
      <c r="D29" s="52"/>
      <c r="E29" s="16">
        <f t="shared" si="7"/>
        <v>0</v>
      </c>
      <c r="F29" s="2">
        <v>0</v>
      </c>
      <c r="G29" s="2">
        <f t="shared" si="8"/>
        <v>0</v>
      </c>
      <c r="H29" s="2"/>
      <c r="I29" s="2"/>
      <c r="J29" s="26"/>
      <c r="K29" s="26"/>
      <c r="L29" s="26">
        <f t="shared" si="9"/>
        <v>0</v>
      </c>
      <c r="M29" s="26"/>
      <c r="N29" s="26"/>
      <c r="O29" s="50"/>
      <c r="P29" s="16">
        <f t="shared" si="10"/>
        <v>0</v>
      </c>
    </row>
    <row r="30" spans="1:19" x14ac:dyDescent="0.2">
      <c r="A30" s="3" t="s">
        <v>4</v>
      </c>
      <c r="B30" s="46">
        <f t="shared" si="6"/>
        <v>0</v>
      </c>
      <c r="C30" s="2">
        <f t="shared" si="6"/>
        <v>0</v>
      </c>
      <c r="D30" s="52"/>
      <c r="E30" s="16">
        <f t="shared" si="7"/>
        <v>0</v>
      </c>
      <c r="F30" s="2">
        <v>0</v>
      </c>
      <c r="G30" s="2">
        <f t="shared" si="8"/>
        <v>0</v>
      </c>
      <c r="H30" s="2"/>
      <c r="I30" s="2"/>
      <c r="J30" s="26"/>
      <c r="K30" s="26"/>
      <c r="L30" s="26">
        <f t="shared" si="9"/>
        <v>0</v>
      </c>
      <c r="M30" s="26"/>
      <c r="N30" s="26"/>
      <c r="O30" s="50"/>
      <c r="P30" s="16">
        <f t="shared" si="10"/>
        <v>0</v>
      </c>
    </row>
    <row r="31" spans="1:19" x14ac:dyDescent="0.2">
      <c r="A31" s="3" t="s">
        <v>5</v>
      </c>
      <c r="B31" s="46">
        <f t="shared" si="6"/>
        <v>0</v>
      </c>
      <c r="C31" s="2">
        <f t="shared" si="6"/>
        <v>0</v>
      </c>
      <c r="D31" s="52"/>
      <c r="E31" s="16">
        <f t="shared" si="7"/>
        <v>0</v>
      </c>
      <c r="F31" s="2">
        <v>0</v>
      </c>
      <c r="G31" s="2">
        <f t="shared" si="8"/>
        <v>0</v>
      </c>
      <c r="H31" s="2"/>
      <c r="I31" s="2"/>
      <c r="J31" s="26"/>
      <c r="K31" s="26"/>
      <c r="L31" s="26">
        <f t="shared" si="9"/>
        <v>0</v>
      </c>
      <c r="M31" s="26"/>
      <c r="N31" s="26"/>
      <c r="O31" s="50"/>
      <c r="P31" s="16">
        <f t="shared" si="10"/>
        <v>0</v>
      </c>
    </row>
    <row r="32" spans="1:19" x14ac:dyDescent="0.2">
      <c r="A32" s="3" t="s">
        <v>6</v>
      </c>
      <c r="B32" s="46">
        <f t="shared" si="6"/>
        <v>0</v>
      </c>
      <c r="C32" s="2">
        <f t="shared" si="6"/>
        <v>0</v>
      </c>
      <c r="D32" s="52"/>
      <c r="E32" s="16">
        <f t="shared" si="7"/>
        <v>0</v>
      </c>
      <c r="F32" s="2">
        <v>0</v>
      </c>
      <c r="G32" s="2">
        <f t="shared" si="8"/>
        <v>0</v>
      </c>
      <c r="H32" s="2"/>
      <c r="I32" s="2"/>
      <c r="J32" s="26"/>
      <c r="K32" s="26"/>
      <c r="L32" s="26">
        <f t="shared" si="9"/>
        <v>0</v>
      </c>
      <c r="M32" s="26"/>
      <c r="N32" s="26"/>
      <c r="O32" s="50"/>
      <c r="P32" s="16">
        <f t="shared" si="10"/>
        <v>0</v>
      </c>
    </row>
    <row r="33" spans="1:16" x14ac:dyDescent="0.2">
      <c r="A33" s="3" t="s">
        <v>7</v>
      </c>
      <c r="B33" s="46">
        <f t="shared" si="6"/>
        <v>0</v>
      </c>
      <c r="C33" s="2">
        <f t="shared" si="6"/>
        <v>0</v>
      </c>
      <c r="D33" s="52"/>
      <c r="E33" s="16">
        <f t="shared" si="7"/>
        <v>0</v>
      </c>
      <c r="F33" s="2">
        <v>0</v>
      </c>
      <c r="G33" s="2">
        <f t="shared" si="8"/>
        <v>0</v>
      </c>
      <c r="H33" s="2"/>
      <c r="I33" s="2"/>
      <c r="J33" s="26"/>
      <c r="K33" s="26"/>
      <c r="L33" s="26">
        <f t="shared" si="9"/>
        <v>0</v>
      </c>
      <c r="M33" s="26"/>
      <c r="N33" s="26"/>
      <c r="O33" s="50"/>
      <c r="P33" s="16">
        <f t="shared" si="10"/>
        <v>0</v>
      </c>
    </row>
    <row r="34" spans="1:16" x14ac:dyDescent="0.2">
      <c r="A34" s="3" t="s">
        <v>8</v>
      </c>
      <c r="B34" s="46">
        <f t="shared" si="6"/>
        <v>0</v>
      </c>
      <c r="C34" s="2">
        <f t="shared" si="6"/>
        <v>0</v>
      </c>
      <c r="D34" s="52"/>
      <c r="E34" s="16">
        <f t="shared" si="7"/>
        <v>0</v>
      </c>
      <c r="F34" s="2">
        <v>0</v>
      </c>
      <c r="G34" s="2">
        <f t="shared" si="8"/>
        <v>0</v>
      </c>
      <c r="H34" s="2"/>
      <c r="I34" s="2"/>
      <c r="J34" s="26"/>
      <c r="K34" s="26"/>
      <c r="L34" s="26">
        <f t="shared" si="9"/>
        <v>0</v>
      </c>
      <c r="M34" s="26"/>
      <c r="N34" s="26"/>
      <c r="O34" s="50"/>
      <c r="P34" s="16">
        <f t="shared" si="10"/>
        <v>0</v>
      </c>
    </row>
    <row r="35" spans="1:16" x14ac:dyDescent="0.2">
      <c r="A35" s="3" t="s">
        <v>9</v>
      </c>
      <c r="B35" s="46">
        <f t="shared" si="6"/>
        <v>0</v>
      </c>
      <c r="C35" s="2">
        <f t="shared" si="6"/>
        <v>0</v>
      </c>
      <c r="D35" s="52"/>
      <c r="E35" s="16">
        <f t="shared" si="7"/>
        <v>0</v>
      </c>
      <c r="F35" s="2">
        <v>0</v>
      </c>
      <c r="G35" s="2">
        <f t="shared" si="8"/>
        <v>0</v>
      </c>
      <c r="H35" s="2"/>
      <c r="I35" s="2"/>
      <c r="J35" s="26"/>
      <c r="K35" s="26"/>
      <c r="L35" s="26">
        <f t="shared" si="9"/>
        <v>0</v>
      </c>
      <c r="M35" s="26"/>
      <c r="N35" s="26"/>
      <c r="O35" s="50"/>
      <c r="P35" s="16">
        <f t="shared" si="10"/>
        <v>0</v>
      </c>
    </row>
    <row r="36" spans="1:16" x14ac:dyDescent="0.2">
      <c r="A36" s="3" t="s">
        <v>10</v>
      </c>
      <c r="B36" s="46">
        <f t="shared" si="6"/>
        <v>0</v>
      </c>
      <c r="C36" s="2">
        <f t="shared" si="6"/>
        <v>0</v>
      </c>
      <c r="D36" s="52"/>
      <c r="E36" s="16">
        <f t="shared" si="7"/>
        <v>0</v>
      </c>
      <c r="F36" s="2">
        <v>0</v>
      </c>
      <c r="G36" s="2">
        <f t="shared" si="8"/>
        <v>0</v>
      </c>
      <c r="H36" s="2"/>
      <c r="I36" s="2"/>
      <c r="J36" s="26"/>
      <c r="K36" s="26"/>
      <c r="L36" s="26">
        <f t="shared" si="9"/>
        <v>0</v>
      </c>
      <c r="M36" s="26"/>
      <c r="N36" s="26"/>
      <c r="O36" s="50"/>
      <c r="P36" s="16">
        <f t="shared" si="10"/>
        <v>0</v>
      </c>
    </row>
    <row r="37" spans="1:16" x14ac:dyDescent="0.2">
      <c r="A37" s="3" t="s">
        <v>11</v>
      </c>
      <c r="B37" s="46">
        <f t="shared" si="6"/>
        <v>0</v>
      </c>
      <c r="C37" s="2">
        <f t="shared" si="6"/>
        <v>0</v>
      </c>
      <c r="D37" s="52"/>
      <c r="E37" s="16">
        <f t="shared" si="7"/>
        <v>0</v>
      </c>
      <c r="F37" s="2">
        <v>0</v>
      </c>
      <c r="G37" s="2">
        <f t="shared" si="8"/>
        <v>0</v>
      </c>
      <c r="H37" s="2"/>
      <c r="I37" s="2"/>
      <c r="J37" s="26"/>
      <c r="K37" s="26"/>
      <c r="L37" s="26">
        <f t="shared" si="9"/>
        <v>0</v>
      </c>
      <c r="M37" s="26"/>
      <c r="N37" s="26"/>
      <c r="O37" s="50"/>
      <c r="P37" s="16">
        <f t="shared" si="10"/>
        <v>0</v>
      </c>
    </row>
    <row r="38" spans="1:16" x14ac:dyDescent="0.2">
      <c r="A38" s="4" t="s">
        <v>20</v>
      </c>
      <c r="B38" s="53">
        <f>SUM(B26:B37)</f>
        <v>0</v>
      </c>
      <c r="C38" s="5">
        <f t="shared" ref="C38:G38" si="11">SUM(C26:C37)</f>
        <v>0</v>
      </c>
      <c r="D38" s="53">
        <f t="shared" si="11"/>
        <v>0</v>
      </c>
      <c r="E38" s="5">
        <f t="shared" si="11"/>
        <v>0</v>
      </c>
      <c r="F38" s="5">
        <f t="shared" si="11"/>
        <v>0</v>
      </c>
      <c r="G38" s="5">
        <f t="shared" si="11"/>
        <v>0</v>
      </c>
      <c r="H38" s="5"/>
      <c r="I38" s="5"/>
      <c r="J38" s="5"/>
      <c r="K38" s="5"/>
      <c r="L38" s="26">
        <f t="shared" si="9"/>
        <v>0</v>
      </c>
      <c r="M38" s="5"/>
      <c r="N38" s="5"/>
      <c r="O38" s="5">
        <f t="shared" ref="O38:P38" si="12">SUM(O26:O37)</f>
        <v>0</v>
      </c>
      <c r="P38" s="5">
        <f t="shared" si="12"/>
        <v>0</v>
      </c>
    </row>
    <row r="44" spans="1:16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335"/>
      <c r="K44" s="335"/>
      <c r="L44" s="335"/>
      <c r="M44" s="335"/>
      <c r="N44" s="232"/>
      <c r="O44" s="322"/>
      <c r="P44" s="322"/>
    </row>
    <row r="45" spans="1:16" x14ac:dyDescent="0.2">
      <c r="A45" s="320"/>
      <c r="B45" s="7"/>
      <c r="C45" s="7"/>
      <c r="D45" s="7"/>
      <c r="E45" s="7"/>
      <c r="F45" s="7"/>
      <c r="G45" s="7"/>
      <c r="H45" s="20"/>
      <c r="I45" s="20"/>
      <c r="J45" s="8"/>
      <c r="K45" s="8"/>
      <c r="L45" s="8"/>
      <c r="M45" s="8"/>
      <c r="N45" s="8"/>
      <c r="O45" s="9"/>
      <c r="P45" s="9"/>
    </row>
    <row r="46" spans="1:16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6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16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16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16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</row>
    <row r="51" spans="1:16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</row>
    <row r="52" spans="1:16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</row>
    <row r="53" spans="1:16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</row>
    <row r="54" spans="1:16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</row>
    <row r="55" spans="1:16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</row>
    <row r="56" spans="1:16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</row>
    <row r="57" spans="1:16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</row>
    <row r="58" spans="1:16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</sheetData>
  <mergeCells count="45">
    <mergeCell ref="S5:S16"/>
    <mergeCell ref="O5:O16"/>
    <mergeCell ref="P5:P16"/>
    <mergeCell ref="Q5:Q16"/>
    <mergeCell ref="R5:R16"/>
    <mergeCell ref="Q2:R2"/>
    <mergeCell ref="Q3:R3"/>
    <mergeCell ref="J12:J17"/>
    <mergeCell ref="N12:N17"/>
    <mergeCell ref="K12:K17"/>
    <mergeCell ref="L12:L17"/>
    <mergeCell ref="M12:M17"/>
    <mergeCell ref="O2:P2"/>
    <mergeCell ref="O3:P3"/>
    <mergeCell ref="J2:M2"/>
    <mergeCell ref="J3:M3"/>
    <mergeCell ref="O44:P44"/>
    <mergeCell ref="A44:A45"/>
    <mergeCell ref="B44:C44"/>
    <mergeCell ref="D44:E44"/>
    <mergeCell ref="F44:G44"/>
    <mergeCell ref="H44:I44"/>
    <mergeCell ref="J44:M44"/>
    <mergeCell ref="O23:P23"/>
    <mergeCell ref="B24:C24"/>
    <mergeCell ref="D24:E24"/>
    <mergeCell ref="F24:G24"/>
    <mergeCell ref="H24:I24"/>
    <mergeCell ref="J24:M24"/>
    <mergeCell ref="O24:P24"/>
    <mergeCell ref="J23:M23"/>
    <mergeCell ref="A23:A25"/>
    <mergeCell ref="B23:C23"/>
    <mergeCell ref="D23:E23"/>
    <mergeCell ref="F23:G23"/>
    <mergeCell ref="H23:I23"/>
    <mergeCell ref="A2:A4"/>
    <mergeCell ref="B2:C2"/>
    <mergeCell ref="D2:E2"/>
    <mergeCell ref="F2:G2"/>
    <mergeCell ref="H2:I2"/>
    <mergeCell ref="B3:C3"/>
    <mergeCell ref="D3:E3"/>
    <mergeCell ref="F3:G3"/>
    <mergeCell ref="H3:I3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D798C-1825-4354-BF0E-38AF3140403C}">
  <sheetPr>
    <tabColor theme="0"/>
  </sheetPr>
  <dimension ref="A1:R58"/>
  <sheetViews>
    <sheetView topLeftCell="A22" workbookViewId="0">
      <selection activeCell="A44" sqref="A44:P58"/>
    </sheetView>
  </sheetViews>
  <sheetFormatPr defaultRowHeight="12.75" x14ac:dyDescent="0.2"/>
  <cols>
    <col min="1" max="1" width="12.7109375" customWidth="1"/>
    <col min="2" max="7" width="11.7109375" hidden="1" customWidth="1"/>
    <col min="8" max="16" width="11.7109375" customWidth="1"/>
    <col min="17" max="17" width="12" customWidth="1"/>
    <col min="18" max="18" width="11.5703125" customWidth="1"/>
  </cols>
  <sheetData>
    <row r="1" spans="1:18" ht="15" x14ac:dyDescent="0.2">
      <c r="A1" s="21" t="s">
        <v>174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57" t="s">
        <v>33</v>
      </c>
    </row>
    <row r="2" spans="1:18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351" t="s">
        <v>145</v>
      </c>
      <c r="L2" s="356"/>
      <c r="M2" s="356"/>
      <c r="N2" s="357"/>
      <c r="O2" s="362" t="s">
        <v>146</v>
      </c>
      <c r="P2" s="362"/>
      <c r="Q2" s="362" t="s">
        <v>147</v>
      </c>
      <c r="R2" s="362"/>
    </row>
    <row r="3" spans="1:18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52</v>
      </c>
      <c r="K3" s="355" t="s">
        <v>14</v>
      </c>
      <c r="L3" s="356"/>
      <c r="M3" s="356"/>
      <c r="N3" s="357"/>
      <c r="O3" s="361" t="s">
        <v>62</v>
      </c>
      <c r="P3" s="361"/>
      <c r="Q3" s="361" t="s">
        <v>63</v>
      </c>
      <c r="R3" s="361"/>
    </row>
    <row r="4" spans="1:18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152" t="s">
        <v>35</v>
      </c>
      <c r="L4" s="152" t="s">
        <v>36</v>
      </c>
      <c r="M4" s="152" t="s">
        <v>37</v>
      </c>
      <c r="N4" s="152" t="s">
        <v>17</v>
      </c>
      <c r="O4" s="153" t="s">
        <v>23</v>
      </c>
      <c r="P4" s="153" t="s">
        <v>24</v>
      </c>
      <c r="Q4" s="153" t="s">
        <v>23</v>
      </c>
      <c r="R4" s="153" t="s">
        <v>24</v>
      </c>
    </row>
    <row r="5" spans="1:18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59">
        <f>34248.32+11117.27</f>
        <v>45365.59</v>
      </c>
      <c r="I5" s="259">
        <f>25321.19+8213.87</f>
        <v>33535.06</v>
      </c>
      <c r="J5" s="2" t="s">
        <v>55</v>
      </c>
      <c r="K5" s="498">
        <v>3296</v>
      </c>
      <c r="L5" s="498">
        <v>1583</v>
      </c>
      <c r="M5" s="498">
        <f>K5+L5</f>
        <v>4879</v>
      </c>
      <c r="N5" s="498">
        <v>15142.14</v>
      </c>
      <c r="O5" s="492">
        <v>346</v>
      </c>
      <c r="P5" s="495">
        <v>12525.2</v>
      </c>
      <c r="Q5" s="492">
        <v>346</v>
      </c>
      <c r="R5" s="495">
        <v>10982.04</v>
      </c>
    </row>
    <row r="6" spans="1:18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59">
        <v>30429.01</v>
      </c>
      <c r="I6" s="259">
        <v>22978.29</v>
      </c>
      <c r="J6" s="2"/>
      <c r="K6" s="499"/>
      <c r="L6" s="499"/>
      <c r="M6" s="499"/>
      <c r="N6" s="499"/>
      <c r="O6" s="493"/>
      <c r="P6" s="496"/>
      <c r="Q6" s="493"/>
      <c r="R6" s="496"/>
    </row>
    <row r="7" spans="1:18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59">
        <f>13285.45+11914.4</f>
        <v>25199.85</v>
      </c>
      <c r="I7" s="259">
        <v>19319.87</v>
      </c>
      <c r="J7" s="2"/>
      <c r="K7" s="500"/>
      <c r="L7" s="500"/>
      <c r="M7" s="500"/>
      <c r="N7" s="500"/>
      <c r="O7" s="493"/>
      <c r="P7" s="496"/>
      <c r="Q7" s="493"/>
      <c r="R7" s="496"/>
    </row>
    <row r="8" spans="1:18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59">
        <v>14985.99</v>
      </c>
      <c r="I8" s="259">
        <v>12174.04</v>
      </c>
      <c r="J8" s="2"/>
      <c r="K8" s="498">
        <v>9565</v>
      </c>
      <c r="L8" s="498">
        <v>3848</v>
      </c>
      <c r="M8" s="498">
        <f>K8+L8</f>
        <v>13413</v>
      </c>
      <c r="N8" s="498">
        <v>43691.47</v>
      </c>
      <c r="O8" s="493"/>
      <c r="P8" s="496"/>
      <c r="Q8" s="493"/>
      <c r="R8" s="496"/>
    </row>
    <row r="9" spans="1:18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59">
        <v>12275.76</v>
      </c>
      <c r="I9" s="259">
        <v>10277.91</v>
      </c>
      <c r="J9" s="2"/>
      <c r="K9" s="499"/>
      <c r="L9" s="499"/>
      <c r="M9" s="499"/>
      <c r="N9" s="499"/>
      <c r="O9" s="493"/>
      <c r="P9" s="496"/>
      <c r="Q9" s="493"/>
      <c r="R9" s="496"/>
    </row>
    <row r="10" spans="1:18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59">
        <v>1668.65</v>
      </c>
      <c r="I10" s="259">
        <v>2856.96</v>
      </c>
      <c r="J10" s="2"/>
      <c r="K10" s="499"/>
      <c r="L10" s="499"/>
      <c r="M10" s="499"/>
      <c r="N10" s="499"/>
      <c r="O10" s="493"/>
      <c r="P10" s="496"/>
      <c r="Q10" s="493"/>
      <c r="R10" s="496"/>
    </row>
    <row r="11" spans="1:18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65">
        <v>2104.42</v>
      </c>
      <c r="I11" s="259">
        <v>3161.84</v>
      </c>
      <c r="J11" s="2"/>
      <c r="K11" s="499"/>
      <c r="L11" s="499"/>
      <c r="M11" s="499"/>
      <c r="N11" s="499"/>
      <c r="O11" s="493"/>
      <c r="P11" s="496"/>
      <c r="Q11" s="493"/>
      <c r="R11" s="496"/>
    </row>
    <row r="12" spans="1:18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59">
        <v>1870.59</v>
      </c>
      <c r="I12" s="259">
        <v>2998.24</v>
      </c>
      <c r="J12" s="2"/>
      <c r="K12" s="499"/>
      <c r="L12" s="499"/>
      <c r="M12" s="499"/>
      <c r="N12" s="499"/>
      <c r="O12" s="493"/>
      <c r="P12" s="496"/>
      <c r="Q12" s="493"/>
      <c r="R12" s="496"/>
    </row>
    <row r="13" spans="1:18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59">
        <v>5409.84</v>
      </c>
      <c r="I13" s="259">
        <v>5474.37</v>
      </c>
      <c r="J13" s="2"/>
      <c r="K13" s="499"/>
      <c r="L13" s="499"/>
      <c r="M13" s="499"/>
      <c r="N13" s="499"/>
      <c r="O13" s="493"/>
      <c r="P13" s="496"/>
      <c r="Q13" s="493"/>
      <c r="R13" s="496"/>
    </row>
    <row r="14" spans="1:18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59">
        <v>13051.63</v>
      </c>
      <c r="I14" s="259">
        <v>10820.73</v>
      </c>
      <c r="J14" s="2"/>
      <c r="K14" s="499"/>
      <c r="L14" s="499"/>
      <c r="M14" s="499"/>
      <c r="N14" s="499"/>
      <c r="O14" s="493"/>
      <c r="P14" s="496"/>
      <c r="Q14" s="493"/>
      <c r="R14" s="496"/>
    </row>
    <row r="15" spans="1:18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59">
        <v>26921.65</v>
      </c>
      <c r="I15" s="259">
        <v>20524.47</v>
      </c>
      <c r="J15" s="2"/>
      <c r="K15" s="499"/>
      <c r="L15" s="499"/>
      <c r="M15" s="499"/>
      <c r="N15" s="499"/>
      <c r="O15" s="493"/>
      <c r="P15" s="496"/>
      <c r="Q15" s="493"/>
      <c r="R15" s="496"/>
    </row>
    <row r="16" spans="1:18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59">
        <v>38751.01</v>
      </c>
      <c r="I16" s="259">
        <v>28800.52</v>
      </c>
      <c r="J16" s="2"/>
      <c r="K16" s="500"/>
      <c r="L16" s="500"/>
      <c r="M16" s="500"/>
      <c r="N16" s="500"/>
      <c r="O16" s="494"/>
      <c r="P16" s="497"/>
      <c r="Q16" s="494"/>
      <c r="R16" s="497"/>
    </row>
    <row r="17" spans="1:18" x14ac:dyDescent="0.2">
      <c r="A17" s="4" t="s">
        <v>20</v>
      </c>
      <c r="B17" s="53">
        <f>SUM(B5:B16)</f>
        <v>0</v>
      </c>
      <c r="C17" s="5">
        <f t="shared" ref="C17:G17" si="3">SUM(C5:C16)</f>
        <v>0</v>
      </c>
      <c r="D17" s="53">
        <f t="shared" si="3"/>
        <v>0</v>
      </c>
      <c r="E17" s="5">
        <f t="shared" si="3"/>
        <v>0</v>
      </c>
      <c r="F17" s="5">
        <f t="shared" si="3"/>
        <v>0</v>
      </c>
      <c r="G17" s="5">
        <f t="shared" si="3"/>
        <v>0</v>
      </c>
      <c r="H17" s="253">
        <f>SUM(H5:H16)</f>
        <v>218033.99</v>
      </c>
      <c r="I17" s="253">
        <f>SUM(I5:I16)</f>
        <v>172922.30000000002</v>
      </c>
      <c r="J17" s="5"/>
      <c r="K17" s="258">
        <f>SUM(K5:K16)</f>
        <v>12861</v>
      </c>
      <c r="L17" s="258">
        <f t="shared" ref="L17:N17" si="4">SUM(L5:L16)</f>
        <v>5431</v>
      </c>
      <c r="M17" s="258">
        <f t="shared" si="4"/>
        <v>18292</v>
      </c>
      <c r="N17" s="258">
        <f t="shared" si="4"/>
        <v>58833.61</v>
      </c>
      <c r="O17" s="258">
        <f>SUM(O5)</f>
        <v>346</v>
      </c>
      <c r="P17" s="258">
        <f>SUM(P5:P15)</f>
        <v>12525.2</v>
      </c>
      <c r="Q17" s="258">
        <f>SUM(Q5:Q15)</f>
        <v>346</v>
      </c>
      <c r="R17" s="258">
        <f>SUM(R5:R15)</f>
        <v>10982.04</v>
      </c>
    </row>
    <row r="18" spans="1:18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143" t="s">
        <v>67</v>
      </c>
      <c r="L18" s="29"/>
      <c r="M18" s="29"/>
      <c r="N18" s="32"/>
      <c r="O18" s="27" t="s">
        <v>64</v>
      </c>
      <c r="P18" s="32"/>
      <c r="Q18" s="27" t="s">
        <v>64</v>
      </c>
    </row>
    <row r="19" spans="1:18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 t="s">
        <v>148</v>
      </c>
      <c r="L19" s="1"/>
      <c r="M19" s="1"/>
      <c r="N19" s="1"/>
      <c r="O19" s="1" t="s">
        <v>65</v>
      </c>
      <c r="P19" s="1"/>
      <c r="Q19" s="1" t="s">
        <v>65</v>
      </c>
    </row>
    <row r="20" spans="1:18" x14ac:dyDescent="0.2">
      <c r="K20" s="142" t="s">
        <v>149</v>
      </c>
    </row>
    <row r="23" spans="1:18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414" t="s">
        <v>145</v>
      </c>
      <c r="L23" s="356"/>
      <c r="M23" s="356"/>
      <c r="N23" s="357"/>
      <c r="O23" s="362" t="s">
        <v>146</v>
      </c>
      <c r="P23" s="362"/>
      <c r="Q23" s="362" t="s">
        <v>147</v>
      </c>
      <c r="R23" s="362"/>
    </row>
    <row r="24" spans="1:18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 t="s">
        <v>52</v>
      </c>
      <c r="K24" s="355" t="s">
        <v>14</v>
      </c>
      <c r="L24" s="356"/>
      <c r="M24" s="356"/>
      <c r="N24" s="357"/>
      <c r="O24" s="361" t="s">
        <v>62</v>
      </c>
      <c r="P24" s="361"/>
      <c r="Q24" s="361" t="s">
        <v>63</v>
      </c>
      <c r="R24" s="361"/>
    </row>
    <row r="25" spans="1:18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152" t="s">
        <v>35</v>
      </c>
      <c r="L25" s="152" t="s">
        <v>36</v>
      </c>
      <c r="M25" s="152" t="s">
        <v>37</v>
      </c>
      <c r="N25" s="152" t="s">
        <v>17</v>
      </c>
      <c r="O25" s="153" t="s">
        <v>23</v>
      </c>
      <c r="P25" s="153" t="s">
        <v>17</v>
      </c>
      <c r="Q25" s="153" t="s">
        <v>23</v>
      </c>
      <c r="R25" s="153" t="s">
        <v>17</v>
      </c>
    </row>
    <row r="26" spans="1:18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69">
        <v>39473.74</v>
      </c>
      <c r="I26" s="69">
        <v>29103.24</v>
      </c>
      <c r="J26" s="2" t="s">
        <v>57</v>
      </c>
      <c r="K26" s="449">
        <v>3899</v>
      </c>
      <c r="L26" s="449">
        <v>1863</v>
      </c>
      <c r="M26" s="449">
        <f>K26+L26</f>
        <v>5762</v>
      </c>
      <c r="N26" s="449">
        <v>18967.560000000001</v>
      </c>
      <c r="O26" s="425">
        <v>118</v>
      </c>
      <c r="P26" s="425">
        <v>4779</v>
      </c>
      <c r="Q26" s="425">
        <v>118</v>
      </c>
      <c r="R26" s="425">
        <v>4127.6400000000003</v>
      </c>
    </row>
    <row r="27" spans="1:18" x14ac:dyDescent="0.2">
      <c r="A27" s="3" t="s">
        <v>1</v>
      </c>
      <c r="B27" s="46">
        <f t="shared" ref="B27:C37" si="5">D27+F27</f>
        <v>0</v>
      </c>
      <c r="C27" s="2">
        <f t="shared" si="5"/>
        <v>0</v>
      </c>
      <c r="D27" s="52"/>
      <c r="E27" s="16">
        <f t="shared" ref="E27:E37" si="6">D27*513.8</f>
        <v>0</v>
      </c>
      <c r="F27" s="2">
        <v>0</v>
      </c>
      <c r="G27" s="2">
        <f t="shared" ref="G27:G37" si="7">F27*336.1423</f>
        <v>0</v>
      </c>
      <c r="H27" s="69"/>
      <c r="I27" s="69"/>
      <c r="J27" s="2"/>
      <c r="K27" s="450"/>
      <c r="L27" s="450"/>
      <c r="M27" s="450"/>
      <c r="N27" s="450"/>
      <c r="O27" s="426"/>
      <c r="P27" s="426"/>
      <c r="Q27" s="426"/>
      <c r="R27" s="426"/>
    </row>
    <row r="28" spans="1:18" x14ac:dyDescent="0.2">
      <c r="A28" s="3" t="s">
        <v>2</v>
      </c>
      <c r="B28" s="46">
        <f t="shared" si="5"/>
        <v>0</v>
      </c>
      <c r="C28" s="2">
        <f t="shared" si="5"/>
        <v>0</v>
      </c>
      <c r="D28" s="52"/>
      <c r="E28" s="16">
        <f t="shared" si="6"/>
        <v>0</v>
      </c>
      <c r="F28" s="2">
        <v>0</v>
      </c>
      <c r="G28" s="2">
        <f t="shared" si="7"/>
        <v>0</v>
      </c>
      <c r="H28" s="69"/>
      <c r="I28" s="69"/>
      <c r="J28" s="2"/>
      <c r="K28" s="451"/>
      <c r="L28" s="451"/>
      <c r="M28" s="451"/>
      <c r="N28" s="451"/>
      <c r="O28" s="426"/>
      <c r="P28" s="426"/>
      <c r="Q28" s="426"/>
      <c r="R28" s="426"/>
    </row>
    <row r="29" spans="1:18" x14ac:dyDescent="0.2">
      <c r="A29" s="3" t="s">
        <v>3</v>
      </c>
      <c r="B29" s="46">
        <f t="shared" si="5"/>
        <v>0</v>
      </c>
      <c r="C29" s="2">
        <f t="shared" si="5"/>
        <v>0</v>
      </c>
      <c r="D29" s="52"/>
      <c r="E29" s="16">
        <f t="shared" si="6"/>
        <v>0</v>
      </c>
      <c r="F29" s="2">
        <v>0</v>
      </c>
      <c r="G29" s="2">
        <f t="shared" si="7"/>
        <v>0</v>
      </c>
      <c r="H29" s="69"/>
      <c r="I29" s="69"/>
      <c r="J29" s="2"/>
      <c r="K29" s="449">
        <v>10829</v>
      </c>
      <c r="L29" s="449">
        <v>3501</v>
      </c>
      <c r="M29" s="449">
        <f>K29+L29</f>
        <v>14330</v>
      </c>
      <c r="N29" s="449">
        <v>50362.92</v>
      </c>
      <c r="O29" s="427"/>
      <c r="P29" s="427"/>
      <c r="Q29" s="427"/>
      <c r="R29" s="427"/>
    </row>
    <row r="30" spans="1:18" x14ac:dyDescent="0.2">
      <c r="A30" s="3" t="s">
        <v>4</v>
      </c>
      <c r="B30" s="46">
        <f t="shared" si="5"/>
        <v>0</v>
      </c>
      <c r="C30" s="2">
        <f t="shared" si="5"/>
        <v>0</v>
      </c>
      <c r="D30" s="52"/>
      <c r="E30" s="16">
        <f t="shared" si="6"/>
        <v>0</v>
      </c>
      <c r="F30" s="2">
        <v>0</v>
      </c>
      <c r="G30" s="2">
        <f t="shared" si="7"/>
        <v>0</v>
      </c>
      <c r="H30" s="69"/>
      <c r="I30" s="69"/>
      <c r="J30" s="2"/>
      <c r="K30" s="450"/>
      <c r="L30" s="450"/>
      <c r="M30" s="450"/>
      <c r="N30" s="450"/>
      <c r="O30" s="425">
        <v>295</v>
      </c>
      <c r="P30" s="425">
        <v>11947.5</v>
      </c>
      <c r="Q30" s="425">
        <v>295</v>
      </c>
      <c r="R30" s="425">
        <v>10319.1</v>
      </c>
    </row>
    <row r="31" spans="1:18" x14ac:dyDescent="0.2">
      <c r="A31" s="3" t="s">
        <v>5</v>
      </c>
      <c r="B31" s="46">
        <f t="shared" si="5"/>
        <v>0</v>
      </c>
      <c r="C31" s="2">
        <f t="shared" si="5"/>
        <v>0</v>
      </c>
      <c r="D31" s="52"/>
      <c r="E31" s="16">
        <f t="shared" si="6"/>
        <v>0</v>
      </c>
      <c r="F31" s="2">
        <v>0</v>
      </c>
      <c r="G31" s="2">
        <f t="shared" si="7"/>
        <v>0</v>
      </c>
      <c r="H31" s="69"/>
      <c r="I31" s="69"/>
      <c r="J31" s="2"/>
      <c r="K31" s="450"/>
      <c r="L31" s="450"/>
      <c r="M31" s="450"/>
      <c r="N31" s="450"/>
      <c r="O31" s="426"/>
      <c r="P31" s="426"/>
      <c r="Q31" s="426"/>
      <c r="R31" s="426"/>
    </row>
    <row r="32" spans="1:18" x14ac:dyDescent="0.2">
      <c r="A32" s="3" t="s">
        <v>6</v>
      </c>
      <c r="B32" s="46">
        <f t="shared" si="5"/>
        <v>0</v>
      </c>
      <c r="C32" s="2">
        <f t="shared" si="5"/>
        <v>0</v>
      </c>
      <c r="D32" s="52"/>
      <c r="E32" s="16">
        <f t="shared" si="6"/>
        <v>0</v>
      </c>
      <c r="F32" s="2">
        <v>0</v>
      </c>
      <c r="G32" s="2">
        <f t="shared" si="7"/>
        <v>0</v>
      </c>
      <c r="H32" s="69"/>
      <c r="I32" s="69"/>
      <c r="J32" s="2"/>
      <c r="K32" s="450"/>
      <c r="L32" s="450"/>
      <c r="M32" s="450"/>
      <c r="N32" s="450"/>
      <c r="O32" s="426"/>
      <c r="P32" s="426"/>
      <c r="Q32" s="426"/>
      <c r="R32" s="426"/>
    </row>
    <row r="33" spans="1:18" x14ac:dyDescent="0.2">
      <c r="A33" s="3" t="s">
        <v>7</v>
      </c>
      <c r="B33" s="46">
        <f t="shared" si="5"/>
        <v>0</v>
      </c>
      <c r="C33" s="2">
        <f t="shared" si="5"/>
        <v>0</v>
      </c>
      <c r="D33" s="52"/>
      <c r="E33" s="16">
        <f t="shared" si="6"/>
        <v>0</v>
      </c>
      <c r="F33" s="2">
        <v>0</v>
      </c>
      <c r="G33" s="2">
        <f t="shared" si="7"/>
        <v>0</v>
      </c>
      <c r="H33" s="69"/>
      <c r="I33" s="69"/>
      <c r="J33" s="2"/>
      <c r="K33" s="450"/>
      <c r="L33" s="450"/>
      <c r="M33" s="450"/>
      <c r="N33" s="450"/>
      <c r="O33" s="426"/>
      <c r="P33" s="426"/>
      <c r="Q33" s="426"/>
      <c r="R33" s="426"/>
    </row>
    <row r="34" spans="1:18" x14ac:dyDescent="0.2">
      <c r="A34" s="3" t="s">
        <v>8</v>
      </c>
      <c r="B34" s="46">
        <f t="shared" si="5"/>
        <v>0</v>
      </c>
      <c r="C34" s="2">
        <f t="shared" si="5"/>
        <v>0</v>
      </c>
      <c r="D34" s="52"/>
      <c r="E34" s="16">
        <f t="shared" si="6"/>
        <v>0</v>
      </c>
      <c r="F34" s="2">
        <v>0</v>
      </c>
      <c r="G34" s="2">
        <f t="shared" si="7"/>
        <v>0</v>
      </c>
      <c r="H34" s="69"/>
      <c r="I34" s="69"/>
      <c r="J34" s="2"/>
      <c r="K34" s="450"/>
      <c r="L34" s="450"/>
      <c r="M34" s="450"/>
      <c r="N34" s="450"/>
      <c r="O34" s="426"/>
      <c r="P34" s="426"/>
      <c r="Q34" s="426"/>
      <c r="R34" s="426"/>
    </row>
    <row r="35" spans="1:18" x14ac:dyDescent="0.2">
      <c r="A35" s="3" t="s">
        <v>9</v>
      </c>
      <c r="B35" s="46">
        <f t="shared" si="5"/>
        <v>0</v>
      </c>
      <c r="C35" s="2">
        <f t="shared" si="5"/>
        <v>0</v>
      </c>
      <c r="D35" s="52"/>
      <c r="E35" s="16">
        <f t="shared" si="6"/>
        <v>0</v>
      </c>
      <c r="F35" s="2">
        <v>0</v>
      </c>
      <c r="G35" s="2">
        <f t="shared" si="7"/>
        <v>0</v>
      </c>
      <c r="H35" s="69"/>
      <c r="I35" s="69"/>
      <c r="J35" s="2"/>
      <c r="K35" s="450"/>
      <c r="L35" s="450"/>
      <c r="M35" s="450"/>
      <c r="N35" s="450"/>
      <c r="O35" s="426"/>
      <c r="P35" s="426"/>
      <c r="Q35" s="426"/>
      <c r="R35" s="426"/>
    </row>
    <row r="36" spans="1:18" x14ac:dyDescent="0.2">
      <c r="A36" s="3" t="s">
        <v>10</v>
      </c>
      <c r="B36" s="46">
        <f t="shared" si="5"/>
        <v>0</v>
      </c>
      <c r="C36" s="2">
        <f t="shared" si="5"/>
        <v>0</v>
      </c>
      <c r="D36" s="52"/>
      <c r="E36" s="16">
        <f t="shared" si="6"/>
        <v>0</v>
      </c>
      <c r="F36" s="2">
        <v>0</v>
      </c>
      <c r="G36" s="2">
        <f t="shared" si="7"/>
        <v>0</v>
      </c>
      <c r="H36" s="69"/>
      <c r="I36" s="69"/>
      <c r="J36" s="2"/>
      <c r="K36" s="450"/>
      <c r="L36" s="450"/>
      <c r="M36" s="450"/>
      <c r="N36" s="450"/>
      <c r="O36" s="426"/>
      <c r="P36" s="426"/>
      <c r="Q36" s="426"/>
      <c r="R36" s="426"/>
    </row>
    <row r="37" spans="1:18" x14ac:dyDescent="0.2">
      <c r="A37" s="3" t="s">
        <v>11</v>
      </c>
      <c r="B37" s="46">
        <f t="shared" si="5"/>
        <v>0</v>
      </c>
      <c r="C37" s="2">
        <f t="shared" si="5"/>
        <v>0</v>
      </c>
      <c r="D37" s="52"/>
      <c r="E37" s="16">
        <f t="shared" si="6"/>
        <v>0</v>
      </c>
      <c r="F37" s="2">
        <v>0</v>
      </c>
      <c r="G37" s="2">
        <f t="shared" si="7"/>
        <v>0</v>
      </c>
      <c r="H37" s="69"/>
      <c r="I37" s="69"/>
      <c r="J37" s="2"/>
      <c r="K37" s="451"/>
      <c r="L37" s="451"/>
      <c r="M37" s="451"/>
      <c r="N37" s="451"/>
      <c r="O37" s="427"/>
      <c r="P37" s="427"/>
      <c r="Q37" s="427"/>
      <c r="R37" s="427"/>
    </row>
    <row r="38" spans="1:18" x14ac:dyDescent="0.2">
      <c r="A38" s="4" t="s">
        <v>20</v>
      </c>
      <c r="B38" s="53">
        <f>SUM(B26:B37)</f>
        <v>0</v>
      </c>
      <c r="C38" s="5">
        <f t="shared" ref="C38:G38" si="8">SUM(C26:C37)</f>
        <v>0</v>
      </c>
      <c r="D38" s="53">
        <f t="shared" si="8"/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62"/>
      <c r="I38" s="62"/>
      <c r="J38" s="5"/>
      <c r="K38" s="103">
        <f>SUM(K26:K37)</f>
        <v>14728</v>
      </c>
      <c r="L38" s="103">
        <f t="shared" ref="L38:N38" si="9">SUM(L26:L37)</f>
        <v>5364</v>
      </c>
      <c r="M38" s="103">
        <f t="shared" si="9"/>
        <v>20092</v>
      </c>
      <c r="N38" s="103">
        <f t="shared" si="9"/>
        <v>69330.48</v>
      </c>
      <c r="O38" s="103">
        <f>SUM(O26:O36)</f>
        <v>413</v>
      </c>
      <c r="P38" s="103">
        <f>SUM(P26:P36)</f>
        <v>16726.5</v>
      </c>
      <c r="Q38" s="103">
        <f>SUM(Q26:Q36)</f>
        <v>413</v>
      </c>
      <c r="R38" s="103">
        <f>SUM(R26:R36)</f>
        <v>14446.740000000002</v>
      </c>
    </row>
    <row r="39" spans="1:18" x14ac:dyDescent="0.2">
      <c r="K39" s="142" t="s">
        <v>67</v>
      </c>
      <c r="O39" s="27" t="s">
        <v>67</v>
      </c>
      <c r="P39" s="32"/>
      <c r="Q39" s="27" t="s">
        <v>67</v>
      </c>
      <c r="R39" s="32"/>
    </row>
    <row r="40" spans="1:18" x14ac:dyDescent="0.2">
      <c r="K40" s="142" t="s">
        <v>150</v>
      </c>
      <c r="O40" s="140" t="s">
        <v>68</v>
      </c>
      <c r="P40" s="1"/>
      <c r="Q40" s="140" t="s">
        <v>68</v>
      </c>
      <c r="R40" s="1"/>
    </row>
    <row r="41" spans="1:18" x14ac:dyDescent="0.2">
      <c r="K41" s="142" t="s">
        <v>151</v>
      </c>
      <c r="O41" s="139" t="s">
        <v>69</v>
      </c>
      <c r="Q41" s="139" t="s">
        <v>69</v>
      </c>
    </row>
    <row r="42" spans="1:18" x14ac:dyDescent="0.2">
      <c r="O42" s="139"/>
      <c r="P42" s="139"/>
    </row>
    <row r="44" spans="1:18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63"/>
      <c r="K44" s="373"/>
      <c r="L44" s="373"/>
      <c r="M44" s="373"/>
      <c r="N44" s="373"/>
      <c r="O44" s="361"/>
      <c r="P44" s="361"/>
    </row>
    <row r="45" spans="1:18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152"/>
      <c r="L45" s="152"/>
      <c r="M45" s="152"/>
      <c r="N45" s="152"/>
      <c r="O45" s="153"/>
      <c r="P45" s="153"/>
    </row>
    <row r="46" spans="1:18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05"/>
      <c r="L46" s="105"/>
      <c r="M46" s="105"/>
      <c r="N46" s="105"/>
      <c r="O46" s="105"/>
      <c r="P46" s="105"/>
    </row>
    <row r="47" spans="1:18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05"/>
      <c r="L47" s="105"/>
      <c r="M47" s="105"/>
      <c r="N47" s="105"/>
      <c r="O47" s="105"/>
      <c r="P47" s="105"/>
    </row>
    <row r="48" spans="1:18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05"/>
      <c r="L48" s="105"/>
      <c r="M48" s="105"/>
      <c r="N48" s="105"/>
      <c r="O48" s="105"/>
      <c r="P48" s="105"/>
    </row>
    <row r="49" spans="1:16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05"/>
      <c r="L49" s="105"/>
      <c r="M49" s="105"/>
      <c r="N49" s="105"/>
      <c r="O49" s="105"/>
      <c r="P49" s="105"/>
    </row>
    <row r="50" spans="1:16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05"/>
      <c r="L50" s="105"/>
      <c r="M50" s="105"/>
      <c r="N50" s="105"/>
      <c r="O50" s="105"/>
      <c r="P50" s="105"/>
    </row>
    <row r="51" spans="1:16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05"/>
      <c r="L51" s="105"/>
      <c r="M51" s="105"/>
      <c r="N51" s="105"/>
      <c r="O51" s="105"/>
      <c r="P51" s="105"/>
    </row>
    <row r="52" spans="1:16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05"/>
      <c r="L52" s="105"/>
      <c r="M52" s="105"/>
      <c r="N52" s="105"/>
      <c r="O52" s="105"/>
      <c r="P52" s="105"/>
    </row>
    <row r="53" spans="1:16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05"/>
      <c r="L53" s="105"/>
      <c r="M53" s="105"/>
      <c r="N53" s="105"/>
      <c r="O53" s="105"/>
      <c r="P53" s="105"/>
    </row>
    <row r="54" spans="1:16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05"/>
      <c r="L54" s="105"/>
      <c r="M54" s="105"/>
      <c r="N54" s="105"/>
      <c r="O54" s="105"/>
      <c r="P54" s="105"/>
    </row>
    <row r="55" spans="1:16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05"/>
      <c r="L55" s="105"/>
      <c r="M55" s="105"/>
      <c r="N55" s="105"/>
      <c r="O55" s="105"/>
      <c r="P55" s="105"/>
    </row>
    <row r="56" spans="1:16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05"/>
      <c r="L56" s="105"/>
      <c r="M56" s="105"/>
      <c r="N56" s="105"/>
      <c r="O56" s="105"/>
      <c r="P56" s="105"/>
    </row>
    <row r="57" spans="1:16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05"/>
      <c r="L57" s="105"/>
      <c r="M57" s="105"/>
      <c r="N57" s="105"/>
      <c r="O57" s="105"/>
      <c r="P57" s="105"/>
    </row>
    <row r="58" spans="1:16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103"/>
      <c r="L58" s="103"/>
      <c r="M58" s="103"/>
      <c r="N58" s="103"/>
      <c r="O58" s="103"/>
      <c r="P58" s="103"/>
    </row>
  </sheetData>
  <mergeCells count="65">
    <mergeCell ref="B3:C3"/>
    <mergeCell ref="D3:E3"/>
    <mergeCell ref="F3:G3"/>
    <mergeCell ref="H3:I3"/>
    <mergeCell ref="A2:A4"/>
    <mergeCell ref="B2:C2"/>
    <mergeCell ref="D2:E2"/>
    <mergeCell ref="F2:G2"/>
    <mergeCell ref="H2:I2"/>
    <mergeCell ref="K23:N23"/>
    <mergeCell ref="A44:A45"/>
    <mergeCell ref="B44:C44"/>
    <mergeCell ref="D44:E44"/>
    <mergeCell ref="F44:G44"/>
    <mergeCell ref="H44:I44"/>
    <mergeCell ref="K24:N2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O2:P2"/>
    <mergeCell ref="Q2:R2"/>
    <mergeCell ref="K3:N3"/>
    <mergeCell ref="O3:P3"/>
    <mergeCell ref="Q3:R3"/>
    <mergeCell ref="K8:K16"/>
    <mergeCell ref="L8:L16"/>
    <mergeCell ref="M8:M16"/>
    <mergeCell ref="N8:N16"/>
    <mergeCell ref="K2:N2"/>
    <mergeCell ref="K5:K7"/>
    <mergeCell ref="L5:L7"/>
    <mergeCell ref="M5:M7"/>
    <mergeCell ref="N5:N7"/>
    <mergeCell ref="O5:O16"/>
    <mergeCell ref="P5:P16"/>
    <mergeCell ref="Q5:Q16"/>
    <mergeCell ref="R5:R16"/>
    <mergeCell ref="Q23:R23"/>
    <mergeCell ref="O23:P23"/>
    <mergeCell ref="O24:P24"/>
    <mergeCell ref="Q24:R24"/>
    <mergeCell ref="K26:K28"/>
    <mergeCell ref="L26:L28"/>
    <mergeCell ref="M26:M28"/>
    <mergeCell ref="N26:N28"/>
    <mergeCell ref="O26:O29"/>
    <mergeCell ref="P26:P29"/>
    <mergeCell ref="O44:P44"/>
    <mergeCell ref="Q26:Q29"/>
    <mergeCell ref="R26:R29"/>
    <mergeCell ref="K29:K37"/>
    <mergeCell ref="L29:L37"/>
    <mergeCell ref="M29:M37"/>
    <mergeCell ref="N29:N37"/>
    <mergeCell ref="O30:O37"/>
    <mergeCell ref="P30:P37"/>
    <mergeCell ref="Q30:Q37"/>
    <mergeCell ref="R30:R37"/>
    <mergeCell ref="K44:N4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80AB-5035-49B1-88A8-C5EF59035417}">
  <dimension ref="A1:T58"/>
  <sheetViews>
    <sheetView topLeftCell="A22" workbookViewId="0">
      <selection activeCell="A44" sqref="A44:Q58"/>
    </sheetView>
  </sheetViews>
  <sheetFormatPr defaultRowHeight="12.75" x14ac:dyDescent="0.2"/>
  <cols>
    <col min="1" max="1" width="12.7109375" customWidth="1"/>
    <col min="2" max="7" width="11.7109375" hidden="1" customWidth="1"/>
    <col min="8" max="14" width="11.7109375" customWidth="1"/>
    <col min="15" max="15" width="18.42578125" customWidth="1"/>
    <col min="16" max="17" width="11.7109375" customWidth="1"/>
    <col min="20" max="20" width="13.85546875" customWidth="1"/>
  </cols>
  <sheetData>
    <row r="1" spans="1:20" ht="15" x14ac:dyDescent="0.2">
      <c r="A1" s="21" t="s">
        <v>167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57" t="s">
        <v>33</v>
      </c>
      <c r="R1" s="15"/>
      <c r="S1" s="57"/>
      <c r="T1" s="57"/>
    </row>
    <row r="2" spans="1:20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304"/>
      <c r="L2" s="305"/>
      <c r="M2" s="305"/>
      <c r="N2" s="306"/>
      <c r="O2" s="60"/>
      <c r="P2" s="322"/>
      <c r="Q2" s="322"/>
      <c r="R2" s="322"/>
      <c r="S2" s="322"/>
      <c r="T2" s="92"/>
    </row>
    <row r="3" spans="1:20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52</v>
      </c>
      <c r="K3" s="304" t="s">
        <v>14</v>
      </c>
      <c r="L3" s="305"/>
      <c r="M3" s="305"/>
      <c r="N3" s="306"/>
      <c r="O3" s="60" t="s">
        <v>52</v>
      </c>
      <c r="P3" s="322" t="s">
        <v>50</v>
      </c>
      <c r="Q3" s="322"/>
      <c r="R3" s="322" t="s">
        <v>51</v>
      </c>
      <c r="S3" s="322"/>
      <c r="T3" s="92" t="s">
        <v>52</v>
      </c>
    </row>
    <row r="4" spans="1:20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8" t="s">
        <v>35</v>
      </c>
      <c r="L4" s="8" t="s">
        <v>36</v>
      </c>
      <c r="M4" s="8" t="s">
        <v>37</v>
      </c>
      <c r="N4" s="8" t="s">
        <v>17</v>
      </c>
      <c r="O4" s="8"/>
      <c r="P4" s="9" t="s">
        <v>23</v>
      </c>
      <c r="Q4" s="9" t="s">
        <v>24</v>
      </c>
      <c r="R4" s="9" t="s">
        <v>23</v>
      </c>
      <c r="S4" s="9" t="s">
        <v>24</v>
      </c>
      <c r="T4" s="9"/>
    </row>
    <row r="5" spans="1:20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46">
        <f>2687.21+9546.72</f>
        <v>12233.93</v>
      </c>
      <c r="I5" s="246">
        <f>2121.35+7443.41</f>
        <v>9564.76</v>
      </c>
      <c r="J5" s="248"/>
      <c r="K5" s="293">
        <v>901</v>
      </c>
      <c r="L5" s="293">
        <v>608</v>
      </c>
      <c r="M5" s="293">
        <f>K5+L5</f>
        <v>1509</v>
      </c>
      <c r="N5" s="293">
        <v>4785.8100000000004</v>
      </c>
      <c r="O5" s="249"/>
      <c r="P5" s="326">
        <v>90</v>
      </c>
      <c r="Q5" s="329">
        <f>P5*36.2</f>
        <v>3258.0000000000005</v>
      </c>
      <c r="R5" s="329">
        <f>P5</f>
        <v>90</v>
      </c>
      <c r="S5" s="329">
        <f>R5*31.025</f>
        <v>2792.25</v>
      </c>
      <c r="T5" s="336"/>
    </row>
    <row r="6" spans="1:20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46">
        <v>5625.67</v>
      </c>
      <c r="I6" s="246">
        <v>4505.47</v>
      </c>
      <c r="J6" s="248"/>
      <c r="K6" s="294"/>
      <c r="L6" s="294"/>
      <c r="M6" s="294"/>
      <c r="N6" s="294"/>
      <c r="O6" s="250" t="s">
        <v>38</v>
      </c>
      <c r="P6" s="327"/>
      <c r="Q6" s="330"/>
      <c r="R6" s="330"/>
      <c r="S6" s="330"/>
      <c r="T6" s="337"/>
    </row>
    <row r="7" spans="1:20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46">
        <v>4216.5200000000004</v>
      </c>
      <c r="I7" s="246">
        <v>3426.63</v>
      </c>
      <c r="J7" s="248"/>
      <c r="K7" s="295"/>
      <c r="L7" s="295"/>
      <c r="M7" s="295"/>
      <c r="N7" s="295"/>
      <c r="O7" s="251"/>
      <c r="P7" s="327"/>
      <c r="Q7" s="330"/>
      <c r="R7" s="330"/>
      <c r="S7" s="330"/>
      <c r="T7" s="337"/>
    </row>
    <row r="8" spans="1:20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46">
        <v>2228.42</v>
      </c>
      <c r="I8" s="246">
        <v>1904.54</v>
      </c>
      <c r="J8" s="248"/>
      <c r="K8" s="293">
        <v>1675</v>
      </c>
      <c r="L8" s="293">
        <v>1167</v>
      </c>
      <c r="M8" s="293">
        <f t="shared" ref="M8" si="3">K8+L8</f>
        <v>2842</v>
      </c>
      <c r="N8" s="293">
        <v>10025.299999999999</v>
      </c>
      <c r="O8" s="251"/>
      <c r="P8" s="327"/>
      <c r="Q8" s="330"/>
      <c r="R8" s="330"/>
      <c r="S8" s="330"/>
      <c r="T8" s="337"/>
    </row>
    <row r="9" spans="1:20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46">
        <v>1824.25</v>
      </c>
      <c r="I9" s="246">
        <v>1595.1</v>
      </c>
      <c r="J9" s="248"/>
      <c r="K9" s="294"/>
      <c r="L9" s="294"/>
      <c r="M9" s="294"/>
      <c r="N9" s="294"/>
      <c r="O9" s="251"/>
      <c r="P9" s="327"/>
      <c r="Q9" s="330"/>
      <c r="R9" s="330"/>
      <c r="S9" s="330"/>
      <c r="T9" s="337"/>
    </row>
    <row r="10" spans="1:20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46">
        <v>251.24</v>
      </c>
      <c r="I10" s="246">
        <v>390.82</v>
      </c>
      <c r="J10" s="248"/>
      <c r="K10" s="294"/>
      <c r="L10" s="294"/>
      <c r="M10" s="294"/>
      <c r="N10" s="294"/>
      <c r="O10" s="251"/>
      <c r="P10" s="327"/>
      <c r="Q10" s="330"/>
      <c r="R10" s="330"/>
      <c r="S10" s="330"/>
      <c r="T10" s="337"/>
    </row>
    <row r="11" spans="1:20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46">
        <v>316.79000000000002</v>
      </c>
      <c r="I11" s="246">
        <v>441</v>
      </c>
      <c r="J11" s="248"/>
      <c r="K11" s="294"/>
      <c r="L11" s="294"/>
      <c r="M11" s="294"/>
      <c r="N11" s="294"/>
      <c r="O11" s="251"/>
      <c r="P11" s="327"/>
      <c r="Q11" s="330"/>
      <c r="R11" s="330"/>
      <c r="S11" s="330"/>
      <c r="T11" s="337"/>
    </row>
    <row r="12" spans="1:20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46">
        <v>273.08999999999997</v>
      </c>
      <c r="I12" s="246">
        <v>407.54</v>
      </c>
      <c r="J12" s="248"/>
      <c r="K12" s="294"/>
      <c r="L12" s="294"/>
      <c r="M12" s="294"/>
      <c r="N12" s="294"/>
      <c r="O12" s="250" t="s">
        <v>42</v>
      </c>
      <c r="P12" s="327"/>
      <c r="Q12" s="330"/>
      <c r="R12" s="330"/>
      <c r="S12" s="330"/>
      <c r="T12" s="337"/>
    </row>
    <row r="13" spans="1:20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46">
        <v>808.35</v>
      </c>
      <c r="I13" s="246">
        <v>817.34</v>
      </c>
      <c r="J13" s="248"/>
      <c r="K13" s="294"/>
      <c r="L13" s="294"/>
      <c r="M13" s="294"/>
      <c r="N13" s="294"/>
      <c r="O13" s="252"/>
      <c r="P13" s="327"/>
      <c r="Q13" s="330"/>
      <c r="R13" s="330"/>
      <c r="S13" s="330"/>
      <c r="T13" s="337"/>
    </row>
    <row r="14" spans="1:20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46">
        <v>1944.41</v>
      </c>
      <c r="I14" s="246">
        <v>1687.1</v>
      </c>
      <c r="J14" s="248"/>
      <c r="K14" s="294"/>
      <c r="L14" s="294"/>
      <c r="M14" s="294"/>
      <c r="N14" s="294"/>
      <c r="O14" s="252"/>
      <c r="P14" s="327"/>
      <c r="Q14" s="330"/>
      <c r="R14" s="330"/>
      <c r="S14" s="330"/>
      <c r="T14" s="337"/>
    </row>
    <row r="15" spans="1:20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46">
        <v>3998.05</v>
      </c>
      <c r="I15" s="246">
        <v>3259.37</v>
      </c>
      <c r="J15" s="248"/>
      <c r="K15" s="294"/>
      <c r="L15" s="294"/>
      <c r="M15" s="294"/>
      <c r="N15" s="294"/>
      <c r="O15" s="252"/>
      <c r="P15" s="327"/>
      <c r="Q15" s="330"/>
      <c r="R15" s="330"/>
      <c r="S15" s="330"/>
      <c r="T15" s="337"/>
    </row>
    <row r="16" spans="1:20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46">
        <v>5767.66</v>
      </c>
      <c r="I16" s="246">
        <v>4614.18</v>
      </c>
      <c r="J16" s="248"/>
      <c r="K16" s="294"/>
      <c r="L16" s="294"/>
      <c r="M16" s="294"/>
      <c r="N16" s="294"/>
      <c r="O16" s="252"/>
      <c r="P16" s="328"/>
      <c r="Q16" s="331"/>
      <c r="R16" s="331"/>
      <c r="S16" s="331"/>
      <c r="T16" s="338"/>
    </row>
    <row r="17" spans="1:20" x14ac:dyDescent="0.2">
      <c r="A17" s="4" t="s">
        <v>20</v>
      </c>
      <c r="B17" s="53">
        <f>SUM(B5:B16)</f>
        <v>0</v>
      </c>
      <c r="C17" s="5">
        <f t="shared" ref="C17:N17" si="4">SUM(C5:C16)</f>
        <v>0</v>
      </c>
      <c r="D17" s="53">
        <f t="shared" si="4"/>
        <v>0</v>
      </c>
      <c r="E17" s="5">
        <f t="shared" si="4"/>
        <v>0</v>
      </c>
      <c r="F17" s="5">
        <f t="shared" si="4"/>
        <v>0</v>
      </c>
      <c r="G17" s="5">
        <f t="shared" si="4"/>
        <v>0</v>
      </c>
      <c r="H17" s="253">
        <f t="shared" si="4"/>
        <v>39488.380000000005</v>
      </c>
      <c r="I17" s="253">
        <f t="shared" si="4"/>
        <v>32613.85</v>
      </c>
      <c r="J17" s="254"/>
      <c r="K17" s="253">
        <f t="shared" si="4"/>
        <v>2576</v>
      </c>
      <c r="L17" s="253">
        <f t="shared" si="4"/>
        <v>1775</v>
      </c>
      <c r="M17" s="253">
        <f t="shared" si="4"/>
        <v>4351</v>
      </c>
      <c r="N17" s="253">
        <f t="shared" si="4"/>
        <v>14811.11</v>
      </c>
      <c r="O17" s="255"/>
      <c r="P17" s="253">
        <f t="shared" ref="P17:S17" si="5">SUM(P5:P16)</f>
        <v>90</v>
      </c>
      <c r="Q17" s="253">
        <f t="shared" si="5"/>
        <v>3258.0000000000005</v>
      </c>
      <c r="R17" s="253">
        <f t="shared" si="5"/>
        <v>90</v>
      </c>
      <c r="S17" s="253">
        <f t="shared" si="5"/>
        <v>2792.25</v>
      </c>
      <c r="T17" s="62"/>
    </row>
    <row r="18" spans="1:20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29"/>
      <c r="L18" s="29"/>
      <c r="M18" s="29"/>
      <c r="N18" s="32"/>
      <c r="O18" s="32"/>
      <c r="P18" s="27"/>
      <c r="Q18" s="32"/>
    </row>
    <row r="19" spans="1:20" x14ac:dyDescent="0.2">
      <c r="A19" s="1"/>
      <c r="B19" s="1"/>
      <c r="C19" s="1"/>
      <c r="D19" s="1"/>
      <c r="E19" s="1"/>
      <c r="F19" s="1"/>
      <c r="G19" s="1"/>
      <c r="H19" s="77"/>
      <c r="I19" s="1"/>
      <c r="J19" s="1"/>
      <c r="K19" s="1"/>
      <c r="L19" s="1"/>
      <c r="M19" s="1"/>
      <c r="N19" s="1"/>
      <c r="O19" s="1"/>
      <c r="P19" s="1"/>
      <c r="Q19" s="1"/>
    </row>
    <row r="20" spans="1:20" x14ac:dyDescent="0.2">
      <c r="I20" s="78"/>
    </row>
    <row r="23" spans="1:20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304"/>
      <c r="L23" s="305"/>
      <c r="M23" s="305"/>
      <c r="N23" s="306"/>
      <c r="O23" s="60"/>
      <c r="P23" s="322"/>
      <c r="Q23" s="322"/>
      <c r="R23" s="322"/>
      <c r="S23" s="322"/>
      <c r="T23" s="92"/>
    </row>
    <row r="24" spans="1:20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 t="s">
        <v>52</v>
      </c>
      <c r="K24" s="304" t="s">
        <v>14</v>
      </c>
      <c r="L24" s="305"/>
      <c r="M24" s="305"/>
      <c r="N24" s="306"/>
      <c r="O24" s="60" t="s">
        <v>52</v>
      </c>
      <c r="P24" s="322" t="s">
        <v>50</v>
      </c>
      <c r="Q24" s="322"/>
      <c r="R24" s="322" t="s">
        <v>51</v>
      </c>
      <c r="S24" s="322"/>
      <c r="T24" s="92" t="s">
        <v>52</v>
      </c>
    </row>
    <row r="25" spans="1:20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8" t="s">
        <v>35</v>
      </c>
      <c r="L25" s="8" t="s">
        <v>36</v>
      </c>
      <c r="M25" s="8" t="s">
        <v>37</v>
      </c>
      <c r="N25" s="8" t="s">
        <v>17</v>
      </c>
      <c r="O25" s="8"/>
      <c r="P25" s="9" t="s">
        <v>23</v>
      </c>
      <c r="Q25" s="9" t="s">
        <v>24</v>
      </c>
      <c r="R25" s="9" t="s">
        <v>23</v>
      </c>
      <c r="S25" s="9" t="s">
        <v>24</v>
      </c>
      <c r="T25" s="9"/>
    </row>
    <row r="26" spans="1:20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69">
        <f>11852.13+2049.97</f>
        <v>13902.099999999999</v>
      </c>
      <c r="I26" s="342">
        <f>9235.68+18600.58+7977.02</f>
        <v>35813.279999999999</v>
      </c>
      <c r="J26" s="72"/>
      <c r="K26" s="311">
        <v>927</v>
      </c>
      <c r="L26" s="311">
        <v>816</v>
      </c>
      <c r="M26" s="311">
        <f>K26+L26</f>
        <v>1743</v>
      </c>
      <c r="N26" s="311">
        <f>3781.82+2584.89</f>
        <v>6366.71</v>
      </c>
      <c r="O26" s="66"/>
      <c r="P26" s="339">
        <v>18</v>
      </c>
      <c r="Q26" s="336">
        <f>P26*40.5</f>
        <v>729</v>
      </c>
      <c r="R26" s="339">
        <f>P26</f>
        <v>18</v>
      </c>
      <c r="S26" s="336">
        <f>R26*58.26</f>
        <v>1048.68</v>
      </c>
      <c r="T26" s="323"/>
    </row>
    <row r="27" spans="1:20" x14ac:dyDescent="0.2">
      <c r="A27" s="3" t="s">
        <v>1</v>
      </c>
      <c r="B27" s="46">
        <f t="shared" ref="B27:C37" si="6">D27+F27</f>
        <v>0</v>
      </c>
      <c r="C27" s="2">
        <f t="shared" si="6"/>
        <v>0</v>
      </c>
      <c r="D27" s="52"/>
      <c r="E27" s="16">
        <f t="shared" ref="E27:E37" si="7">D27*513.8</f>
        <v>0</v>
      </c>
      <c r="F27" s="2">
        <v>0</v>
      </c>
      <c r="G27" s="2">
        <f t="shared" ref="G27:G37" si="8">F27*336.1423</f>
        <v>0</v>
      </c>
      <c r="H27" s="69">
        <v>4928.66</v>
      </c>
      <c r="I27" s="343"/>
      <c r="J27" s="73"/>
      <c r="K27" s="312"/>
      <c r="L27" s="312"/>
      <c r="M27" s="312"/>
      <c r="N27" s="312"/>
      <c r="O27" s="68" t="s">
        <v>44</v>
      </c>
      <c r="P27" s="340"/>
      <c r="Q27" s="337"/>
      <c r="R27" s="340"/>
      <c r="S27" s="337"/>
      <c r="T27" s="324"/>
    </row>
    <row r="28" spans="1:20" x14ac:dyDescent="0.2">
      <c r="A28" s="3" t="s">
        <v>2</v>
      </c>
      <c r="B28" s="46">
        <f t="shared" si="6"/>
        <v>0</v>
      </c>
      <c r="C28" s="2">
        <f t="shared" si="6"/>
        <v>0</v>
      </c>
      <c r="D28" s="52"/>
      <c r="E28" s="16">
        <f t="shared" si="7"/>
        <v>0</v>
      </c>
      <c r="F28" s="2">
        <v>0</v>
      </c>
      <c r="G28" s="2">
        <f t="shared" si="8"/>
        <v>0</v>
      </c>
      <c r="H28" s="69">
        <v>5233.97</v>
      </c>
      <c r="I28" s="343"/>
      <c r="J28" s="74"/>
      <c r="K28" s="345"/>
      <c r="L28" s="345"/>
      <c r="M28" s="345"/>
      <c r="N28" s="345"/>
      <c r="P28" s="340"/>
      <c r="Q28" s="337"/>
      <c r="R28" s="340"/>
      <c r="S28" s="337"/>
      <c r="T28" s="324"/>
    </row>
    <row r="29" spans="1:20" x14ac:dyDescent="0.2">
      <c r="A29" s="3" t="s">
        <v>3</v>
      </c>
      <c r="B29" s="46">
        <f t="shared" si="6"/>
        <v>0</v>
      </c>
      <c r="C29" s="2">
        <f t="shared" si="6"/>
        <v>0</v>
      </c>
      <c r="D29" s="52"/>
      <c r="E29" s="16">
        <f t="shared" si="7"/>
        <v>0</v>
      </c>
      <c r="F29" s="2">
        <v>0</v>
      </c>
      <c r="G29" s="2">
        <f t="shared" si="8"/>
        <v>0</v>
      </c>
      <c r="H29" s="69">
        <v>2638.8</v>
      </c>
      <c r="I29" s="343"/>
      <c r="J29" s="72"/>
      <c r="K29" s="311">
        <v>1325</v>
      </c>
      <c r="L29" s="311">
        <v>816</v>
      </c>
      <c r="M29" s="311">
        <f>K29+L29</f>
        <v>2141</v>
      </c>
      <c r="N29" s="311">
        <f>6366.93+3293.97</f>
        <v>9660.9</v>
      </c>
      <c r="P29" s="341"/>
      <c r="Q29" s="338"/>
      <c r="R29" s="341"/>
      <c r="S29" s="338"/>
      <c r="T29" s="325"/>
    </row>
    <row r="30" spans="1:20" x14ac:dyDescent="0.2">
      <c r="A30" s="3" t="s">
        <v>4</v>
      </c>
      <c r="B30" s="46">
        <f t="shared" si="6"/>
        <v>0</v>
      </c>
      <c r="C30" s="2">
        <f t="shared" si="6"/>
        <v>0</v>
      </c>
      <c r="D30" s="52"/>
      <c r="E30" s="16">
        <f t="shared" si="7"/>
        <v>0</v>
      </c>
      <c r="F30" s="2">
        <v>0</v>
      </c>
      <c r="G30" s="2">
        <f t="shared" si="8"/>
        <v>0</v>
      </c>
      <c r="H30" s="69">
        <v>1493.86</v>
      </c>
      <c r="I30" s="343"/>
      <c r="J30" s="73"/>
      <c r="K30" s="312"/>
      <c r="L30" s="312"/>
      <c r="M30" s="312"/>
      <c r="N30" s="312"/>
      <c r="P30" s="95"/>
      <c r="Q30" s="96"/>
      <c r="R30" s="95"/>
      <c r="S30" s="96"/>
      <c r="T30" s="101"/>
    </row>
    <row r="31" spans="1:20" x14ac:dyDescent="0.2">
      <c r="A31" s="3" t="s">
        <v>5</v>
      </c>
      <c r="B31" s="46">
        <f t="shared" si="6"/>
        <v>0</v>
      </c>
      <c r="C31" s="2">
        <f t="shared" si="6"/>
        <v>0</v>
      </c>
      <c r="D31" s="52"/>
      <c r="E31" s="16">
        <f t="shared" si="7"/>
        <v>0</v>
      </c>
      <c r="F31" s="2">
        <v>0</v>
      </c>
      <c r="G31" s="2">
        <f t="shared" si="8"/>
        <v>0</v>
      </c>
      <c r="H31" s="69">
        <v>512.49</v>
      </c>
      <c r="I31" s="343"/>
      <c r="J31" s="73"/>
      <c r="K31" s="312"/>
      <c r="L31" s="312"/>
      <c r="M31" s="312"/>
      <c r="N31" s="312"/>
      <c r="P31" s="95"/>
      <c r="Q31" s="96"/>
      <c r="R31" s="95"/>
      <c r="S31" s="96"/>
      <c r="T31" s="101"/>
    </row>
    <row r="32" spans="1:20" x14ac:dyDescent="0.2">
      <c r="A32" s="3" t="s">
        <v>6</v>
      </c>
      <c r="B32" s="46">
        <f t="shared" si="6"/>
        <v>0</v>
      </c>
      <c r="C32" s="2">
        <f t="shared" si="6"/>
        <v>0</v>
      </c>
      <c r="D32" s="52"/>
      <c r="E32" s="16">
        <f t="shared" si="7"/>
        <v>0</v>
      </c>
      <c r="F32" s="2">
        <v>0</v>
      </c>
      <c r="G32" s="2">
        <f t="shared" si="8"/>
        <v>0</v>
      </c>
      <c r="H32" s="69">
        <v>348.93</v>
      </c>
      <c r="I32" s="343"/>
      <c r="J32" s="73"/>
      <c r="K32" s="312"/>
      <c r="L32" s="312"/>
      <c r="M32" s="312"/>
      <c r="N32" s="312"/>
      <c r="P32" s="95"/>
      <c r="Q32" s="96"/>
      <c r="R32" s="95"/>
      <c r="S32" s="96"/>
      <c r="T32" s="101"/>
    </row>
    <row r="33" spans="1:20" x14ac:dyDescent="0.2">
      <c r="A33" s="3" t="s">
        <v>7</v>
      </c>
      <c r="B33" s="46">
        <f t="shared" si="6"/>
        <v>0</v>
      </c>
      <c r="C33" s="2">
        <f t="shared" si="6"/>
        <v>0</v>
      </c>
      <c r="D33" s="52"/>
      <c r="E33" s="16">
        <f t="shared" si="7"/>
        <v>0</v>
      </c>
      <c r="F33" s="2">
        <v>0</v>
      </c>
      <c r="G33" s="2">
        <f t="shared" si="8"/>
        <v>0</v>
      </c>
      <c r="H33" s="69">
        <v>283.51</v>
      </c>
      <c r="I33" s="343"/>
      <c r="J33" s="73"/>
      <c r="K33" s="312"/>
      <c r="L33" s="312"/>
      <c r="M33" s="312"/>
      <c r="N33" s="312"/>
      <c r="P33" s="95"/>
      <c r="Q33" s="96"/>
      <c r="R33" s="95"/>
      <c r="S33" s="96"/>
      <c r="T33" s="101"/>
    </row>
    <row r="34" spans="1:20" x14ac:dyDescent="0.2">
      <c r="A34" s="3" t="s">
        <v>8</v>
      </c>
      <c r="B34" s="46">
        <f t="shared" si="6"/>
        <v>0</v>
      </c>
      <c r="C34" s="2">
        <f t="shared" si="6"/>
        <v>0</v>
      </c>
      <c r="D34" s="52"/>
      <c r="E34" s="16">
        <f t="shared" si="7"/>
        <v>0</v>
      </c>
      <c r="F34" s="2">
        <v>0</v>
      </c>
      <c r="G34" s="2">
        <f t="shared" si="8"/>
        <v>0</v>
      </c>
      <c r="H34" s="69">
        <v>697.86</v>
      </c>
      <c r="I34" s="343"/>
      <c r="J34" s="73"/>
      <c r="K34" s="312"/>
      <c r="L34" s="312"/>
      <c r="M34" s="312"/>
      <c r="N34" s="312"/>
      <c r="O34" s="68" t="s">
        <v>45</v>
      </c>
      <c r="P34" s="95"/>
      <c r="Q34" s="96"/>
      <c r="R34" s="95"/>
      <c r="S34" s="96"/>
      <c r="T34" s="101"/>
    </row>
    <row r="35" spans="1:20" x14ac:dyDescent="0.2">
      <c r="A35" s="3" t="s">
        <v>9</v>
      </c>
      <c r="B35" s="46">
        <f t="shared" si="6"/>
        <v>0</v>
      </c>
      <c r="C35" s="2">
        <f t="shared" si="6"/>
        <v>0</v>
      </c>
      <c r="D35" s="52"/>
      <c r="E35" s="16">
        <f t="shared" si="7"/>
        <v>0</v>
      </c>
      <c r="F35" s="2">
        <v>0</v>
      </c>
      <c r="G35" s="2">
        <f t="shared" si="8"/>
        <v>0</v>
      </c>
      <c r="H35" s="69">
        <v>2507.9499999999998</v>
      </c>
      <c r="I35" s="343"/>
      <c r="J35" s="73"/>
      <c r="K35" s="312"/>
      <c r="L35" s="312"/>
      <c r="M35" s="312"/>
      <c r="N35" s="312"/>
      <c r="O35" s="67"/>
      <c r="P35" s="95"/>
      <c r="Q35" s="96"/>
      <c r="R35" s="95"/>
      <c r="S35" s="96"/>
      <c r="T35" s="101"/>
    </row>
    <row r="36" spans="1:20" x14ac:dyDescent="0.2">
      <c r="A36" s="3" t="s">
        <v>10</v>
      </c>
      <c r="B36" s="46">
        <f t="shared" si="6"/>
        <v>0</v>
      </c>
      <c r="C36" s="2">
        <f t="shared" si="6"/>
        <v>0</v>
      </c>
      <c r="D36" s="52"/>
      <c r="E36" s="16">
        <f t="shared" si="7"/>
        <v>0</v>
      </c>
      <c r="F36" s="2">
        <v>0</v>
      </c>
      <c r="G36" s="2">
        <f t="shared" si="8"/>
        <v>0</v>
      </c>
      <c r="H36" s="69">
        <v>4732.38</v>
      </c>
      <c r="I36" s="343"/>
      <c r="J36" s="73"/>
      <c r="K36" s="312"/>
      <c r="L36" s="312"/>
      <c r="M36" s="312"/>
      <c r="N36" s="312"/>
      <c r="O36" s="67"/>
      <c r="P36" s="95"/>
      <c r="Q36" s="96"/>
      <c r="R36" s="95"/>
      <c r="S36" s="96"/>
      <c r="T36" s="101"/>
    </row>
    <row r="37" spans="1:20" x14ac:dyDescent="0.2">
      <c r="A37" s="3" t="s">
        <v>11</v>
      </c>
      <c r="B37" s="46">
        <f t="shared" si="6"/>
        <v>0</v>
      </c>
      <c r="C37" s="2">
        <f t="shared" si="6"/>
        <v>0</v>
      </c>
      <c r="D37" s="52"/>
      <c r="E37" s="16">
        <f t="shared" si="7"/>
        <v>0</v>
      </c>
      <c r="F37" s="2">
        <v>0</v>
      </c>
      <c r="G37" s="2">
        <f t="shared" si="8"/>
        <v>0</v>
      </c>
      <c r="H37" s="69">
        <v>6280.78</v>
      </c>
      <c r="I37" s="344"/>
      <c r="J37" s="73"/>
      <c r="K37" s="312"/>
      <c r="L37" s="312"/>
      <c r="M37" s="312"/>
      <c r="N37" s="312"/>
      <c r="O37" s="67"/>
      <c r="P37" s="97"/>
      <c r="Q37" s="98"/>
      <c r="R37" s="97"/>
      <c r="S37" s="98"/>
      <c r="T37" s="101"/>
    </row>
    <row r="38" spans="1:20" x14ac:dyDescent="0.2">
      <c r="A38" s="4" t="s">
        <v>20</v>
      </c>
      <c r="B38" s="53">
        <f>SUM(B26:B37)</f>
        <v>0</v>
      </c>
      <c r="C38" s="5">
        <f t="shared" ref="C38:N38" si="9">SUM(C26:C37)</f>
        <v>0</v>
      </c>
      <c r="D38" s="53">
        <f t="shared" si="9"/>
        <v>0</v>
      </c>
      <c r="E38" s="5">
        <f t="shared" si="9"/>
        <v>0</v>
      </c>
      <c r="F38" s="5">
        <f t="shared" si="9"/>
        <v>0</v>
      </c>
      <c r="G38" s="5">
        <f t="shared" si="9"/>
        <v>0</v>
      </c>
      <c r="H38" s="62">
        <f t="shared" si="9"/>
        <v>43561.29</v>
      </c>
      <c r="I38" s="62">
        <f t="shared" si="9"/>
        <v>35813.279999999999</v>
      </c>
      <c r="J38" s="75"/>
      <c r="K38" s="62">
        <f t="shared" si="9"/>
        <v>2252</v>
      </c>
      <c r="L38" s="62">
        <f t="shared" si="9"/>
        <v>1632</v>
      </c>
      <c r="M38" s="62">
        <f t="shared" si="9"/>
        <v>3884</v>
      </c>
      <c r="N38" s="62">
        <f t="shared" si="9"/>
        <v>16027.61</v>
      </c>
      <c r="O38" s="79"/>
      <c r="P38" s="62">
        <f t="shared" ref="P38:S38" si="10">SUM(P26:P37)</f>
        <v>18</v>
      </c>
      <c r="Q38" s="62">
        <f t="shared" si="10"/>
        <v>729</v>
      </c>
      <c r="R38" s="62">
        <f t="shared" si="10"/>
        <v>18</v>
      </c>
      <c r="S38" s="62">
        <f t="shared" si="10"/>
        <v>1048.68</v>
      </c>
      <c r="T38" s="5"/>
    </row>
    <row r="44" spans="1:20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58"/>
      <c r="K44" s="335"/>
      <c r="L44" s="335"/>
      <c r="M44" s="335"/>
      <c r="N44" s="335"/>
      <c r="O44" s="59"/>
      <c r="P44" s="322"/>
      <c r="Q44" s="322"/>
    </row>
    <row r="45" spans="1:20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8"/>
      <c r="L45" s="8"/>
      <c r="M45" s="8"/>
      <c r="N45" s="8"/>
      <c r="O45" s="8"/>
      <c r="P45" s="9"/>
      <c r="Q45" s="9"/>
    </row>
    <row r="46" spans="1:20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20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20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 spans="1:17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</row>
    <row r="55" spans="1:17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</row>
    <row r="56" spans="1:17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pans="1:17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</row>
    <row r="58" spans="1:17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</sheetData>
  <mergeCells count="64">
    <mergeCell ref="P23:Q23"/>
    <mergeCell ref="I26:I37"/>
    <mergeCell ref="N8:N16"/>
    <mergeCell ref="M8:M16"/>
    <mergeCell ref="L8:L16"/>
    <mergeCell ref="K8:K16"/>
    <mergeCell ref="N29:N37"/>
    <mergeCell ref="M29:M37"/>
    <mergeCell ref="L29:L37"/>
    <mergeCell ref="K29:K37"/>
    <mergeCell ref="P24:Q24"/>
    <mergeCell ref="K24:N24"/>
    <mergeCell ref="K26:K28"/>
    <mergeCell ref="L26:L28"/>
    <mergeCell ref="M26:M28"/>
    <mergeCell ref="N26:N28"/>
    <mergeCell ref="P2:Q2"/>
    <mergeCell ref="P3:Q3"/>
    <mergeCell ref="T5:T16"/>
    <mergeCell ref="R26:R29"/>
    <mergeCell ref="S26:S29"/>
    <mergeCell ref="R2:S2"/>
    <mergeCell ref="R3:S3"/>
    <mergeCell ref="R5:R16"/>
    <mergeCell ref="S5:S16"/>
    <mergeCell ref="T26:T29"/>
    <mergeCell ref="P5:P16"/>
    <mergeCell ref="Q5:Q16"/>
    <mergeCell ref="R23:S23"/>
    <mergeCell ref="R24:S24"/>
    <mergeCell ref="P26:P29"/>
    <mergeCell ref="Q26:Q29"/>
    <mergeCell ref="K5:K7"/>
    <mergeCell ref="L5:L7"/>
    <mergeCell ref="M5:M7"/>
    <mergeCell ref="N5:N7"/>
    <mergeCell ref="K23:N23"/>
    <mergeCell ref="P44:Q44"/>
    <mergeCell ref="A44:A45"/>
    <mergeCell ref="B44:C44"/>
    <mergeCell ref="D44:E44"/>
    <mergeCell ref="F44:G44"/>
    <mergeCell ref="H44:I44"/>
    <mergeCell ref="K44:N4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K2:N2"/>
    <mergeCell ref="A2:A4"/>
    <mergeCell ref="B2:C2"/>
    <mergeCell ref="D2:E2"/>
    <mergeCell ref="F2:G2"/>
    <mergeCell ref="H2:I2"/>
    <mergeCell ref="B3:C3"/>
    <mergeCell ref="D3:E3"/>
    <mergeCell ref="F3:G3"/>
    <mergeCell ref="H3:I3"/>
    <mergeCell ref="K3:N3"/>
  </mergeCells>
  <pageMargins left="0.7" right="0.7" top="0.78740157499999996" bottom="0.78740157499999996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9CB17-6BD4-4832-92DE-EB46A7E76219}">
  <sheetPr>
    <tabColor theme="0"/>
  </sheetPr>
  <dimension ref="A1:T58"/>
  <sheetViews>
    <sheetView topLeftCell="H1" workbookViewId="0">
      <selection activeCell="R20" sqref="R20"/>
    </sheetView>
  </sheetViews>
  <sheetFormatPr defaultRowHeight="12.75" x14ac:dyDescent="0.2"/>
  <cols>
    <col min="1" max="1" width="12.7109375" customWidth="1"/>
    <col min="2" max="7" width="11.7109375" hidden="1" customWidth="1"/>
    <col min="8" max="14" width="11.7109375" customWidth="1"/>
    <col min="15" max="15" width="19.140625" customWidth="1"/>
    <col min="16" max="17" width="11.7109375" customWidth="1"/>
    <col min="18" max="18" width="16.42578125" customWidth="1"/>
    <col min="20" max="20" width="12.42578125" customWidth="1"/>
  </cols>
  <sheetData>
    <row r="1" spans="1:20" ht="15" x14ac:dyDescent="0.2">
      <c r="A1" s="21" t="s">
        <v>173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57" t="s">
        <v>33</v>
      </c>
      <c r="R1" s="15"/>
      <c r="S1" s="57"/>
      <c r="T1" s="57"/>
    </row>
    <row r="2" spans="1:20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304"/>
      <c r="L2" s="305"/>
      <c r="M2" s="305"/>
      <c r="N2" s="306"/>
      <c r="O2" s="60"/>
      <c r="P2" s="322"/>
      <c r="Q2" s="322"/>
      <c r="R2" s="322"/>
      <c r="S2" s="322"/>
      <c r="T2" s="92"/>
    </row>
    <row r="3" spans="1:20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52</v>
      </c>
      <c r="K3" s="304" t="s">
        <v>14</v>
      </c>
      <c r="L3" s="305"/>
      <c r="M3" s="305"/>
      <c r="N3" s="306"/>
      <c r="O3" s="60" t="s">
        <v>52</v>
      </c>
      <c r="P3" s="322" t="s">
        <v>50</v>
      </c>
      <c r="Q3" s="322"/>
      <c r="R3" s="322" t="s">
        <v>51</v>
      </c>
      <c r="S3" s="322"/>
      <c r="T3" s="92" t="s">
        <v>52</v>
      </c>
    </row>
    <row r="4" spans="1:20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8" t="s">
        <v>35</v>
      </c>
      <c r="L4" s="8" t="s">
        <v>36</v>
      </c>
      <c r="M4" s="8" t="s">
        <v>37</v>
      </c>
      <c r="N4" s="8" t="s">
        <v>17</v>
      </c>
      <c r="O4" s="8"/>
      <c r="P4" s="9" t="s">
        <v>23</v>
      </c>
      <c r="Q4" s="9" t="s">
        <v>24</v>
      </c>
      <c r="R4" s="9" t="s">
        <v>23</v>
      </c>
      <c r="S4" s="9" t="s">
        <v>24</v>
      </c>
      <c r="T4" s="9"/>
    </row>
    <row r="5" spans="1:20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59">
        <v>8792.4699999999993</v>
      </c>
      <c r="I5" s="259">
        <v>6929.97</v>
      </c>
      <c r="J5" s="86"/>
      <c r="K5" s="293">
        <v>908</v>
      </c>
      <c r="L5" s="293">
        <v>277</v>
      </c>
      <c r="M5" s="293">
        <f>K5+L5</f>
        <v>1185</v>
      </c>
      <c r="N5" s="483">
        <v>6248.91</v>
      </c>
      <c r="O5" s="516" t="s">
        <v>179</v>
      </c>
      <c r="P5" s="521">
        <v>224</v>
      </c>
      <c r="Q5" s="521">
        <f>P5*36.2</f>
        <v>8108.8000000000011</v>
      </c>
      <c r="R5" s="518" t="s">
        <v>242</v>
      </c>
      <c r="S5" s="521">
        <v>0</v>
      </c>
      <c r="T5" s="513"/>
    </row>
    <row r="6" spans="1:20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59">
        <v>6721.78</v>
      </c>
      <c r="I6" s="259">
        <v>5344.66</v>
      </c>
      <c r="J6" s="87"/>
      <c r="K6" s="294"/>
      <c r="L6" s="294"/>
      <c r="M6" s="294"/>
      <c r="N6" s="484"/>
      <c r="O6" s="517"/>
      <c r="P6" s="522"/>
      <c r="Q6" s="522"/>
      <c r="R6" s="519"/>
      <c r="S6" s="522"/>
      <c r="T6" s="514"/>
    </row>
    <row r="7" spans="1:20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59">
        <v>5033.37</v>
      </c>
      <c r="I7" s="259">
        <v>4052</v>
      </c>
      <c r="J7" s="87"/>
      <c r="K7" s="294"/>
      <c r="L7" s="294"/>
      <c r="M7" s="294"/>
      <c r="N7" s="484"/>
      <c r="O7" s="517"/>
      <c r="P7" s="522"/>
      <c r="Q7" s="522"/>
      <c r="R7" s="519"/>
      <c r="S7" s="522"/>
      <c r="T7" s="514"/>
    </row>
    <row r="8" spans="1:20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59">
        <v>2729.06</v>
      </c>
      <c r="I8" s="259">
        <v>2287.83</v>
      </c>
      <c r="J8" s="87"/>
      <c r="K8" s="294"/>
      <c r="L8" s="294"/>
      <c r="M8" s="294"/>
      <c r="N8" s="484"/>
      <c r="P8" s="522"/>
      <c r="Q8" s="522"/>
      <c r="R8" s="519"/>
      <c r="S8" s="522"/>
      <c r="T8" s="514"/>
    </row>
    <row r="9" spans="1:20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59">
        <v>2283.0700000000002</v>
      </c>
      <c r="I9" s="259">
        <v>1946.38</v>
      </c>
      <c r="J9" s="87"/>
      <c r="K9" s="294"/>
      <c r="L9" s="294"/>
      <c r="M9" s="294"/>
      <c r="N9" s="484"/>
      <c r="O9" s="84" t="s">
        <v>180</v>
      </c>
      <c r="P9" s="522"/>
      <c r="Q9" s="522"/>
      <c r="R9" s="519">
        <f>P9</f>
        <v>0</v>
      </c>
      <c r="S9" s="522">
        <f>R9*31.74</f>
        <v>0</v>
      </c>
      <c r="T9" s="514"/>
    </row>
    <row r="10" spans="1:20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59">
        <v>265.47000000000003</v>
      </c>
      <c r="I10" s="259">
        <v>401.69</v>
      </c>
      <c r="J10" s="87"/>
      <c r="K10" s="294"/>
      <c r="L10" s="294"/>
      <c r="M10" s="294"/>
      <c r="N10" s="484"/>
      <c r="O10" s="84"/>
      <c r="P10" s="522"/>
      <c r="Q10" s="522"/>
      <c r="R10" s="519"/>
      <c r="S10" s="522"/>
      <c r="T10" s="514"/>
    </row>
    <row r="11" spans="1:20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59">
        <f>127.43+201.81</f>
        <v>329.24</v>
      </c>
      <c r="I11" s="259">
        <f>161.58+288.95</f>
        <v>450.53</v>
      </c>
      <c r="J11" s="87"/>
      <c r="K11" s="294"/>
      <c r="L11" s="294"/>
      <c r="M11" s="294"/>
      <c r="N11" s="484"/>
      <c r="O11" s="84"/>
      <c r="P11" s="522"/>
      <c r="Q11" s="522"/>
      <c r="R11" s="519"/>
      <c r="S11" s="522"/>
      <c r="T11" s="514"/>
    </row>
    <row r="12" spans="1:20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59">
        <v>265.54000000000002</v>
      </c>
      <c r="I12" s="259">
        <v>401.76</v>
      </c>
      <c r="J12" s="87"/>
      <c r="K12" s="294"/>
      <c r="L12" s="294"/>
      <c r="M12" s="294"/>
      <c r="N12" s="484"/>
      <c r="O12" s="84"/>
      <c r="P12" s="522"/>
      <c r="Q12" s="522"/>
      <c r="R12" s="519"/>
      <c r="S12" s="522"/>
      <c r="T12" s="514"/>
    </row>
    <row r="13" spans="1:20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59">
        <v>849.71</v>
      </c>
      <c r="I13" s="259">
        <v>849</v>
      </c>
      <c r="J13" s="88"/>
      <c r="K13" s="295"/>
      <c r="L13" s="295"/>
      <c r="M13" s="295"/>
      <c r="N13" s="485"/>
      <c r="O13" s="85"/>
      <c r="P13" s="522"/>
      <c r="Q13" s="522"/>
      <c r="R13" s="519"/>
      <c r="S13" s="522"/>
      <c r="T13" s="514"/>
    </row>
    <row r="14" spans="1:20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59">
        <v>1943.72</v>
      </c>
      <c r="I14" s="259">
        <v>1686.57</v>
      </c>
      <c r="J14" s="86"/>
      <c r="K14" s="293">
        <v>271</v>
      </c>
      <c r="L14" s="293">
        <v>75</v>
      </c>
      <c r="M14" s="293">
        <f t="shared" ref="M14" si="3">K14+L14</f>
        <v>346</v>
      </c>
      <c r="N14" s="293">
        <v>1729.14</v>
      </c>
      <c r="O14" s="83"/>
      <c r="P14" s="522"/>
      <c r="Q14" s="522"/>
      <c r="R14" s="519"/>
      <c r="S14" s="522"/>
      <c r="T14" s="514"/>
    </row>
    <row r="15" spans="1:20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59">
        <v>3823.71</v>
      </c>
      <c r="I15" s="259">
        <v>3125.9</v>
      </c>
      <c r="J15" s="87"/>
      <c r="K15" s="294"/>
      <c r="L15" s="294"/>
      <c r="M15" s="294"/>
      <c r="N15" s="294"/>
      <c r="O15" s="84" t="s">
        <v>48</v>
      </c>
      <c r="P15" s="522"/>
      <c r="Q15" s="522"/>
      <c r="R15" s="519"/>
      <c r="S15" s="522"/>
      <c r="T15" s="514"/>
    </row>
    <row r="16" spans="1:20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59">
        <v>5544.37</v>
      </c>
      <c r="I16" s="259">
        <v>4443.24</v>
      </c>
      <c r="J16" s="87"/>
      <c r="K16" s="294"/>
      <c r="L16" s="294"/>
      <c r="M16" s="294"/>
      <c r="N16" s="294"/>
      <c r="O16" s="84"/>
      <c r="P16" s="523"/>
      <c r="Q16" s="523"/>
      <c r="R16" s="520"/>
      <c r="S16" s="523"/>
      <c r="T16" s="515"/>
    </row>
    <row r="17" spans="1:20" x14ac:dyDescent="0.2">
      <c r="A17" s="4" t="s">
        <v>20</v>
      </c>
      <c r="B17" s="53">
        <f>SUM(B5:B16)</f>
        <v>0</v>
      </c>
      <c r="C17" s="5">
        <f t="shared" ref="C17:N17" si="4">SUM(C5:C16)</f>
        <v>0</v>
      </c>
      <c r="D17" s="53"/>
      <c r="E17" s="5">
        <f t="shared" si="4"/>
        <v>0</v>
      </c>
      <c r="F17" s="5">
        <f t="shared" si="4"/>
        <v>0</v>
      </c>
      <c r="G17" s="5">
        <f t="shared" si="4"/>
        <v>0</v>
      </c>
      <c r="H17" s="253">
        <f t="shared" si="4"/>
        <v>38581.510000000009</v>
      </c>
      <c r="I17" s="253">
        <f t="shared" si="4"/>
        <v>31919.53</v>
      </c>
      <c r="J17" s="62"/>
      <c r="K17" s="253">
        <f t="shared" si="4"/>
        <v>1179</v>
      </c>
      <c r="L17" s="253">
        <f t="shared" si="4"/>
        <v>352</v>
      </c>
      <c r="M17" s="253">
        <f t="shared" si="4"/>
        <v>1531</v>
      </c>
      <c r="N17" s="253">
        <f t="shared" si="4"/>
        <v>7978.05</v>
      </c>
      <c r="O17" s="62"/>
      <c r="P17" s="253">
        <f t="shared" ref="P17:S17" si="5">SUM(P5:P16)</f>
        <v>224</v>
      </c>
      <c r="Q17" s="253">
        <f t="shared" si="5"/>
        <v>8108.8000000000011</v>
      </c>
      <c r="R17" s="253">
        <f t="shared" si="5"/>
        <v>0</v>
      </c>
      <c r="S17" s="253">
        <f t="shared" si="5"/>
        <v>0</v>
      </c>
      <c r="T17" s="62"/>
    </row>
    <row r="18" spans="1:20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29"/>
      <c r="L18" s="29"/>
      <c r="M18" s="29"/>
      <c r="N18" s="32"/>
      <c r="O18" s="32"/>
      <c r="P18" s="27"/>
      <c r="Q18" s="32"/>
    </row>
    <row r="19" spans="1:20" x14ac:dyDescent="0.2">
      <c r="A19" s="1"/>
      <c r="B19" s="1"/>
      <c r="C19" s="1"/>
      <c r="D19" s="1"/>
      <c r="E19" s="1"/>
      <c r="F19" s="1"/>
      <c r="G19" s="1"/>
      <c r="H19" s="77"/>
      <c r="I19" s="77"/>
      <c r="J19" s="1"/>
      <c r="K19" s="1"/>
      <c r="L19" s="1"/>
      <c r="M19" s="1"/>
      <c r="N19" s="1"/>
      <c r="O19" s="1"/>
      <c r="P19" s="1"/>
      <c r="Q19" s="1"/>
    </row>
    <row r="23" spans="1:20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304"/>
      <c r="L23" s="305"/>
      <c r="M23" s="305"/>
      <c r="N23" s="306"/>
      <c r="O23" s="60"/>
      <c r="P23" s="322"/>
      <c r="Q23" s="322"/>
      <c r="R23" s="322"/>
      <c r="S23" s="322"/>
      <c r="T23" s="92"/>
    </row>
    <row r="24" spans="1:20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 t="s">
        <v>52</v>
      </c>
      <c r="K24" s="304" t="s">
        <v>14</v>
      </c>
      <c r="L24" s="305"/>
      <c r="M24" s="305"/>
      <c r="N24" s="306"/>
      <c r="O24" s="60" t="s">
        <v>52</v>
      </c>
      <c r="P24" s="322" t="s">
        <v>50</v>
      </c>
      <c r="Q24" s="322"/>
      <c r="R24" s="322" t="s">
        <v>51</v>
      </c>
      <c r="S24" s="322"/>
      <c r="T24" s="92" t="s">
        <v>52</v>
      </c>
    </row>
    <row r="25" spans="1:20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8" t="s">
        <v>35</v>
      </c>
      <c r="L25" s="8" t="s">
        <v>36</v>
      </c>
      <c r="M25" s="8" t="s">
        <v>37</v>
      </c>
      <c r="N25" s="8" t="s">
        <v>17</v>
      </c>
      <c r="O25" s="8"/>
      <c r="P25" s="9" t="s">
        <v>23</v>
      </c>
      <c r="Q25" s="9" t="s">
        <v>24</v>
      </c>
      <c r="R25" s="9" t="s">
        <v>23</v>
      </c>
      <c r="S25" s="9" t="s">
        <v>24</v>
      </c>
      <c r="T25" s="9"/>
    </row>
    <row r="26" spans="1:20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70">
        <v>8325.86</v>
      </c>
      <c r="I26" s="70">
        <v>6587.64</v>
      </c>
      <c r="J26" s="89"/>
      <c r="K26" s="311">
        <v>942</v>
      </c>
      <c r="L26" s="311">
        <v>291</v>
      </c>
      <c r="M26" s="311">
        <f>K26+L26</f>
        <v>1233</v>
      </c>
      <c r="N26" s="510"/>
      <c r="O26" s="66"/>
      <c r="P26" s="501"/>
      <c r="Q26" s="504">
        <f>P26*40.5</f>
        <v>0</v>
      </c>
      <c r="R26" s="501"/>
      <c r="S26" s="504">
        <f>R26*58.26</f>
        <v>0</v>
      </c>
      <c r="T26" s="504" t="s">
        <v>53</v>
      </c>
    </row>
    <row r="27" spans="1:20" x14ac:dyDescent="0.2">
      <c r="A27" s="3" t="s">
        <v>1</v>
      </c>
      <c r="B27" s="46">
        <f t="shared" ref="B27:C37" si="6">D27+F27</f>
        <v>0</v>
      </c>
      <c r="C27" s="2">
        <f t="shared" si="6"/>
        <v>0</v>
      </c>
      <c r="D27" s="52"/>
      <c r="E27" s="16">
        <f t="shared" ref="E27:E37" si="7">D27*513.8</f>
        <v>0</v>
      </c>
      <c r="F27" s="2">
        <v>0</v>
      </c>
      <c r="G27" s="2">
        <f t="shared" ref="G27:G37" si="8">F27*336.1423</f>
        <v>0</v>
      </c>
      <c r="H27" s="70">
        <v>5851.47</v>
      </c>
      <c r="I27" s="70">
        <v>4688.95</v>
      </c>
      <c r="J27" s="90"/>
      <c r="K27" s="312"/>
      <c r="L27" s="312"/>
      <c r="M27" s="312"/>
      <c r="N27" s="511"/>
      <c r="O27" s="67"/>
      <c r="P27" s="502"/>
      <c r="Q27" s="505"/>
      <c r="R27" s="502"/>
      <c r="S27" s="505"/>
      <c r="T27" s="505"/>
    </row>
    <row r="28" spans="1:20" x14ac:dyDescent="0.2">
      <c r="A28" s="3" t="s">
        <v>2</v>
      </c>
      <c r="B28" s="46">
        <f t="shared" si="6"/>
        <v>0</v>
      </c>
      <c r="C28" s="2">
        <f t="shared" si="6"/>
        <v>0</v>
      </c>
      <c r="D28" s="52"/>
      <c r="E28" s="16">
        <f t="shared" si="7"/>
        <v>0</v>
      </c>
      <c r="F28" s="2">
        <v>0</v>
      </c>
      <c r="G28" s="2">
        <f t="shared" si="8"/>
        <v>0</v>
      </c>
      <c r="H28" s="70">
        <v>6223.16</v>
      </c>
      <c r="I28" s="70">
        <v>4974.17</v>
      </c>
      <c r="J28" s="90"/>
      <c r="K28" s="312"/>
      <c r="L28" s="312"/>
      <c r="M28" s="312"/>
      <c r="N28" s="511"/>
      <c r="O28" s="67"/>
      <c r="P28" s="502"/>
      <c r="Q28" s="505"/>
      <c r="R28" s="502"/>
      <c r="S28" s="505"/>
      <c r="T28" s="505"/>
    </row>
    <row r="29" spans="1:20" x14ac:dyDescent="0.2">
      <c r="A29" s="3" t="s">
        <v>3</v>
      </c>
      <c r="B29" s="46">
        <f t="shared" si="6"/>
        <v>0</v>
      </c>
      <c r="C29" s="2">
        <f t="shared" si="6"/>
        <v>0</v>
      </c>
      <c r="D29" s="52"/>
      <c r="E29" s="16">
        <f t="shared" si="7"/>
        <v>0</v>
      </c>
      <c r="F29" s="2">
        <v>0</v>
      </c>
      <c r="G29" s="2">
        <f t="shared" si="8"/>
        <v>0</v>
      </c>
      <c r="H29" s="70">
        <v>3132.82</v>
      </c>
      <c r="I29" s="70">
        <v>2602.85</v>
      </c>
      <c r="J29" s="90"/>
      <c r="K29" s="312"/>
      <c r="L29" s="312"/>
      <c r="M29" s="312"/>
      <c r="N29" s="511"/>
      <c r="O29" s="67"/>
      <c r="P29" s="503"/>
      <c r="Q29" s="506"/>
      <c r="R29" s="503"/>
      <c r="S29" s="506"/>
      <c r="T29" s="506"/>
    </row>
    <row r="30" spans="1:20" x14ac:dyDescent="0.2">
      <c r="A30" s="3" t="s">
        <v>4</v>
      </c>
      <c r="B30" s="46">
        <f t="shared" si="6"/>
        <v>0</v>
      </c>
      <c r="C30" s="2">
        <f t="shared" si="6"/>
        <v>0</v>
      </c>
      <c r="D30" s="52"/>
      <c r="E30" s="16">
        <f t="shared" si="7"/>
        <v>0</v>
      </c>
      <c r="F30" s="2">
        <v>0</v>
      </c>
      <c r="G30" s="2">
        <f t="shared" si="8"/>
        <v>0</v>
      </c>
      <c r="H30" s="70">
        <v>1773.49</v>
      </c>
      <c r="I30" s="70">
        <v>1559.8</v>
      </c>
      <c r="J30" s="90"/>
      <c r="K30" s="312"/>
      <c r="L30" s="312"/>
      <c r="M30" s="312"/>
      <c r="N30" s="511"/>
      <c r="O30" s="67" t="s">
        <v>46</v>
      </c>
      <c r="P30" s="501">
        <v>163</v>
      </c>
      <c r="Q30" s="501"/>
      <c r="R30" s="501"/>
      <c r="S30" s="501"/>
      <c r="T30" s="94"/>
    </row>
    <row r="31" spans="1:20" x14ac:dyDescent="0.2">
      <c r="A31" s="3" t="s">
        <v>5</v>
      </c>
      <c r="B31" s="46">
        <f t="shared" si="6"/>
        <v>0</v>
      </c>
      <c r="C31" s="2">
        <f t="shared" si="6"/>
        <v>0</v>
      </c>
      <c r="D31" s="52"/>
      <c r="E31" s="16">
        <f t="shared" si="7"/>
        <v>0</v>
      </c>
      <c r="F31" s="2">
        <v>0</v>
      </c>
      <c r="G31" s="2">
        <f t="shared" si="8"/>
        <v>0</v>
      </c>
      <c r="H31" s="70">
        <v>615.94000000000005</v>
      </c>
      <c r="I31" s="70">
        <v>671.57</v>
      </c>
      <c r="J31" s="90"/>
      <c r="K31" s="312"/>
      <c r="L31" s="312"/>
      <c r="M31" s="312"/>
      <c r="N31" s="511"/>
      <c r="O31" s="67"/>
      <c r="P31" s="502"/>
      <c r="Q31" s="502"/>
      <c r="R31" s="502"/>
      <c r="S31" s="502"/>
      <c r="T31" s="94"/>
    </row>
    <row r="32" spans="1:20" x14ac:dyDescent="0.2">
      <c r="A32" s="3" t="s">
        <v>6</v>
      </c>
      <c r="B32" s="46">
        <f t="shared" si="6"/>
        <v>0</v>
      </c>
      <c r="C32" s="2">
        <f t="shared" si="6"/>
        <v>0</v>
      </c>
      <c r="D32" s="52"/>
      <c r="E32" s="16">
        <f t="shared" si="7"/>
        <v>0</v>
      </c>
      <c r="F32" s="2">
        <v>0</v>
      </c>
      <c r="G32" s="2">
        <f t="shared" si="8"/>
        <v>0</v>
      </c>
      <c r="H32" s="70">
        <f>42.48+255</f>
        <v>297.48</v>
      </c>
      <c r="I32" s="342">
        <f>58.27+6955.58+3311.03</f>
        <v>10324.880000000001</v>
      </c>
      <c r="J32" s="90"/>
      <c r="K32" s="312"/>
      <c r="L32" s="312"/>
      <c r="M32" s="312"/>
      <c r="N32" s="511"/>
      <c r="O32" s="67"/>
      <c r="P32" s="502"/>
      <c r="Q32" s="502"/>
      <c r="R32" s="502"/>
      <c r="S32" s="502"/>
      <c r="T32" s="94"/>
    </row>
    <row r="33" spans="1:20" x14ac:dyDescent="0.2">
      <c r="A33" s="3" t="s">
        <v>7</v>
      </c>
      <c r="B33" s="46">
        <f t="shared" si="6"/>
        <v>0</v>
      </c>
      <c r="C33" s="2">
        <f t="shared" si="6"/>
        <v>0</v>
      </c>
      <c r="D33" s="52"/>
      <c r="E33" s="16">
        <f t="shared" si="7"/>
        <v>0</v>
      </c>
      <c r="F33" s="2">
        <v>0</v>
      </c>
      <c r="G33" s="2">
        <f t="shared" si="8"/>
        <v>0</v>
      </c>
      <c r="H33" s="70">
        <v>223.12</v>
      </c>
      <c r="I33" s="343"/>
      <c r="J33" s="90"/>
      <c r="K33" s="312"/>
      <c r="L33" s="312"/>
      <c r="M33" s="312"/>
      <c r="N33" s="511"/>
      <c r="O33" s="67"/>
      <c r="P33" s="502"/>
      <c r="Q33" s="502"/>
      <c r="R33" s="502"/>
      <c r="S33" s="502"/>
      <c r="T33" s="94"/>
    </row>
    <row r="34" spans="1:20" x14ac:dyDescent="0.2">
      <c r="A34" s="3" t="s">
        <v>8</v>
      </c>
      <c r="B34" s="46">
        <f t="shared" si="6"/>
        <v>0</v>
      </c>
      <c r="C34" s="2">
        <f t="shared" si="6"/>
        <v>0</v>
      </c>
      <c r="D34" s="52"/>
      <c r="E34" s="16">
        <f t="shared" si="7"/>
        <v>0</v>
      </c>
      <c r="F34" s="2">
        <v>0</v>
      </c>
      <c r="G34" s="2">
        <f t="shared" si="8"/>
        <v>0</v>
      </c>
      <c r="H34" s="70">
        <v>552.5</v>
      </c>
      <c r="I34" s="343"/>
      <c r="J34" s="90"/>
      <c r="K34" s="312"/>
      <c r="L34" s="312"/>
      <c r="M34" s="312"/>
      <c r="N34" s="511"/>
      <c r="O34" s="67"/>
      <c r="P34" s="502"/>
      <c r="Q34" s="502"/>
      <c r="R34" s="502"/>
      <c r="S34" s="502"/>
      <c r="T34" s="94"/>
    </row>
    <row r="35" spans="1:20" x14ac:dyDescent="0.2">
      <c r="A35" s="3" t="s">
        <v>9</v>
      </c>
      <c r="B35" s="46">
        <f t="shared" si="6"/>
        <v>0</v>
      </c>
      <c r="C35" s="2">
        <f t="shared" si="6"/>
        <v>0</v>
      </c>
      <c r="D35" s="52"/>
      <c r="E35" s="16">
        <f t="shared" si="7"/>
        <v>0</v>
      </c>
      <c r="F35" s="2">
        <v>0</v>
      </c>
      <c r="G35" s="2">
        <f t="shared" si="8"/>
        <v>0</v>
      </c>
      <c r="H35" s="70">
        <v>2008.12</v>
      </c>
      <c r="I35" s="343"/>
      <c r="J35" s="90"/>
      <c r="K35" s="345"/>
      <c r="L35" s="345"/>
      <c r="M35" s="345"/>
      <c r="N35" s="512"/>
      <c r="O35" s="79"/>
      <c r="P35" s="502"/>
      <c r="Q35" s="502"/>
      <c r="R35" s="502"/>
      <c r="S35" s="502"/>
      <c r="T35" s="94"/>
    </row>
    <row r="36" spans="1:20" x14ac:dyDescent="0.2">
      <c r="A36" s="3" t="s">
        <v>10</v>
      </c>
      <c r="B36" s="46">
        <f t="shared" si="6"/>
        <v>0</v>
      </c>
      <c r="C36" s="2">
        <f t="shared" si="6"/>
        <v>0</v>
      </c>
      <c r="D36" s="52"/>
      <c r="E36" s="16">
        <f t="shared" si="7"/>
        <v>0</v>
      </c>
      <c r="F36" s="2">
        <v>0</v>
      </c>
      <c r="G36" s="2">
        <f t="shared" si="8"/>
        <v>0</v>
      </c>
      <c r="H36" s="70">
        <v>3793.12</v>
      </c>
      <c r="I36" s="343"/>
      <c r="J36" s="90"/>
      <c r="K36" s="311">
        <v>163</v>
      </c>
      <c r="L36" s="311">
        <v>65</v>
      </c>
      <c r="M36" s="311">
        <f t="shared" ref="M36" si="9">K36+L36</f>
        <v>228</v>
      </c>
      <c r="N36" s="507">
        <f>1103.67+364.75</f>
        <v>1468.42</v>
      </c>
      <c r="O36" s="80"/>
      <c r="P36" s="502"/>
      <c r="Q36" s="502"/>
      <c r="R36" s="502"/>
      <c r="S36" s="502"/>
      <c r="T36" s="94"/>
    </row>
    <row r="37" spans="1:20" x14ac:dyDescent="0.2">
      <c r="A37" s="3" t="s">
        <v>11</v>
      </c>
      <c r="B37" s="46">
        <f t="shared" si="6"/>
        <v>0</v>
      </c>
      <c r="C37" s="2">
        <f t="shared" si="6"/>
        <v>0</v>
      </c>
      <c r="D37" s="52"/>
      <c r="E37" s="16">
        <f t="shared" si="7"/>
        <v>0</v>
      </c>
      <c r="F37" s="2">
        <v>0</v>
      </c>
      <c r="G37" s="2">
        <f t="shared" si="8"/>
        <v>0</v>
      </c>
      <c r="H37" s="70">
        <v>5025.62</v>
      </c>
      <c r="I37" s="344"/>
      <c r="J37" s="90"/>
      <c r="K37" s="312"/>
      <c r="L37" s="312"/>
      <c r="M37" s="312"/>
      <c r="N37" s="508"/>
      <c r="O37" s="81" t="s">
        <v>47</v>
      </c>
      <c r="P37" s="503"/>
      <c r="Q37" s="503"/>
      <c r="R37" s="503"/>
      <c r="S37" s="503"/>
      <c r="T37" s="94"/>
    </row>
    <row r="38" spans="1:20" x14ac:dyDescent="0.2">
      <c r="A38" s="4" t="s">
        <v>20</v>
      </c>
      <c r="B38" s="53">
        <f>SUM(B26:B37)</f>
        <v>0</v>
      </c>
      <c r="C38" s="5">
        <f t="shared" ref="C38:I38" si="10">SUM(C26:C37)</f>
        <v>0</v>
      </c>
      <c r="D38" s="53">
        <f t="shared" si="10"/>
        <v>0</v>
      </c>
      <c r="E38" s="5">
        <f t="shared" si="10"/>
        <v>0</v>
      </c>
      <c r="F38" s="5">
        <f t="shared" si="10"/>
        <v>0</v>
      </c>
      <c r="G38" s="5">
        <f t="shared" si="10"/>
        <v>0</v>
      </c>
      <c r="H38" s="62">
        <f t="shared" si="10"/>
        <v>37822.700000000004</v>
      </c>
      <c r="I38" s="62">
        <f t="shared" si="10"/>
        <v>31409.86</v>
      </c>
      <c r="J38" s="91"/>
      <c r="K38" s="345"/>
      <c r="L38" s="345"/>
      <c r="M38" s="345"/>
      <c r="N38" s="509"/>
      <c r="O38" s="82"/>
      <c r="P38" s="5">
        <f t="shared" ref="P38:S38" si="11">SUM(P26:P37)</f>
        <v>163</v>
      </c>
      <c r="Q38" s="5">
        <f t="shared" si="11"/>
        <v>0</v>
      </c>
      <c r="R38" s="5">
        <f t="shared" si="11"/>
        <v>0</v>
      </c>
      <c r="S38" s="5">
        <f t="shared" si="11"/>
        <v>0</v>
      </c>
      <c r="T38" s="5"/>
    </row>
    <row r="44" spans="1:20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58"/>
      <c r="K44" s="335"/>
      <c r="L44" s="335"/>
      <c r="M44" s="335"/>
      <c r="N44" s="335"/>
      <c r="O44" s="59"/>
      <c r="P44" s="322"/>
      <c r="Q44" s="322"/>
    </row>
    <row r="45" spans="1:20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8"/>
      <c r="L45" s="8"/>
      <c r="M45" s="8"/>
      <c r="N45" s="8"/>
      <c r="O45" s="8"/>
      <c r="P45" s="9"/>
      <c r="Q45" s="9"/>
    </row>
    <row r="46" spans="1:20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20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20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  <row r="51" spans="1:17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</row>
    <row r="55" spans="1:17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</row>
    <row r="56" spans="1:17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pans="1:17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</row>
    <row r="58" spans="1:17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</sheetData>
  <mergeCells count="69">
    <mergeCell ref="R5:R16"/>
    <mergeCell ref="S5:S16"/>
    <mergeCell ref="S30:S37"/>
    <mergeCell ref="P23:Q23"/>
    <mergeCell ref="P24:Q24"/>
    <mergeCell ref="P30:P37"/>
    <mergeCell ref="Q30:Q37"/>
    <mergeCell ref="R30:R37"/>
    <mergeCell ref="P5:P16"/>
    <mergeCell ref="Q5:Q16"/>
    <mergeCell ref="T5:T16"/>
    <mergeCell ref="T26:T29"/>
    <mergeCell ref="I32:I37"/>
    <mergeCell ref="R2:S2"/>
    <mergeCell ref="R3:S3"/>
    <mergeCell ref="N14:N16"/>
    <mergeCell ref="M14:M16"/>
    <mergeCell ref="L14:L16"/>
    <mergeCell ref="K14:K16"/>
    <mergeCell ref="R23:S23"/>
    <mergeCell ref="R24:S24"/>
    <mergeCell ref="O5:O7"/>
    <mergeCell ref="S26:S29"/>
    <mergeCell ref="K5:K13"/>
    <mergeCell ref="L5:L13"/>
    <mergeCell ref="N5:N13"/>
    <mergeCell ref="M5:M13"/>
    <mergeCell ref="K26:K35"/>
    <mergeCell ref="L26:L35"/>
    <mergeCell ref="M26:M35"/>
    <mergeCell ref="N26:N35"/>
    <mergeCell ref="K23:N23"/>
    <mergeCell ref="K24:N24"/>
    <mergeCell ref="P44:Q44"/>
    <mergeCell ref="K44:N44"/>
    <mergeCell ref="P26:P29"/>
    <mergeCell ref="Q26:Q29"/>
    <mergeCell ref="R26:R29"/>
    <mergeCell ref="K36:K38"/>
    <mergeCell ref="L36:L38"/>
    <mergeCell ref="M36:M38"/>
    <mergeCell ref="N36:N38"/>
    <mergeCell ref="A44:A45"/>
    <mergeCell ref="B44:C44"/>
    <mergeCell ref="D44:E44"/>
    <mergeCell ref="F44:G44"/>
    <mergeCell ref="H44:I4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P2:Q2"/>
    <mergeCell ref="B3:C3"/>
    <mergeCell ref="D3:E3"/>
    <mergeCell ref="F3:G3"/>
    <mergeCell ref="H3:I3"/>
    <mergeCell ref="K3:N3"/>
    <mergeCell ref="P3:Q3"/>
    <mergeCell ref="K2:N2"/>
    <mergeCell ref="A2:A4"/>
    <mergeCell ref="B2:C2"/>
    <mergeCell ref="D2:E2"/>
    <mergeCell ref="F2:G2"/>
    <mergeCell ref="H2:I2"/>
  </mergeCells>
  <pageMargins left="0.7" right="0.7" top="0.78740157499999996" bottom="0.78740157499999996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EB8B-BD19-47AE-9B58-9997143703A7}">
  <sheetPr>
    <tabColor theme="0"/>
  </sheetPr>
  <dimension ref="A1:S58"/>
  <sheetViews>
    <sheetView workbookViewId="0">
      <selection activeCell="J59" sqref="J59"/>
    </sheetView>
  </sheetViews>
  <sheetFormatPr defaultRowHeight="12.75" x14ac:dyDescent="0.2"/>
  <cols>
    <col min="1" max="1" width="12.7109375" customWidth="1"/>
    <col min="2" max="16" width="11.7109375" customWidth="1"/>
  </cols>
  <sheetData>
    <row r="1" spans="1:19" ht="15" x14ac:dyDescent="0.2">
      <c r="A1" s="21" t="s">
        <v>176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57" t="s">
        <v>33</v>
      </c>
      <c r="R1" s="57"/>
    </row>
    <row r="2" spans="1:19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467" t="s">
        <v>194</v>
      </c>
      <c r="K2" s="468"/>
      <c r="L2" s="468"/>
      <c r="M2" s="469"/>
      <c r="N2" s="470" t="s">
        <v>200</v>
      </c>
      <c r="O2" s="470"/>
      <c r="P2" s="362"/>
      <c r="Q2" s="362"/>
      <c r="R2" s="231"/>
    </row>
    <row r="3" spans="1:19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304" t="s">
        <v>14</v>
      </c>
      <c r="K3" s="305"/>
      <c r="L3" s="305"/>
      <c r="M3" s="306"/>
      <c r="N3" s="322" t="s">
        <v>62</v>
      </c>
      <c r="O3" s="322"/>
      <c r="P3" s="361" t="s">
        <v>63</v>
      </c>
      <c r="Q3" s="361"/>
      <c r="R3" s="231"/>
    </row>
    <row r="4" spans="1:19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8" t="s">
        <v>35</v>
      </c>
      <c r="K4" s="8" t="s">
        <v>36</v>
      </c>
      <c r="L4" s="8" t="s">
        <v>37</v>
      </c>
      <c r="M4" s="8" t="s">
        <v>17</v>
      </c>
      <c r="N4" s="9" t="s">
        <v>23</v>
      </c>
      <c r="O4" s="9" t="s">
        <v>24</v>
      </c>
      <c r="P4" s="153" t="s">
        <v>23</v>
      </c>
      <c r="Q4" s="153" t="s">
        <v>24</v>
      </c>
      <c r="R4" s="9" t="s">
        <v>182</v>
      </c>
    </row>
    <row r="5" spans="1:19" x14ac:dyDescent="0.2">
      <c r="A5" s="3" t="s">
        <v>0</v>
      </c>
      <c r="B5" s="2">
        <v>435</v>
      </c>
      <c r="C5" s="2">
        <f>B5*474.82</f>
        <v>206546.69999999998</v>
      </c>
      <c r="D5" s="51"/>
      <c r="E5" s="16">
        <f>D5*513.8</f>
        <v>0</v>
      </c>
      <c r="F5" s="2">
        <v>0</v>
      </c>
      <c r="G5" s="2">
        <f>F5*336.1423</f>
        <v>0</v>
      </c>
      <c r="H5" s="2"/>
      <c r="I5" s="2"/>
      <c r="J5" s="26">
        <v>23108</v>
      </c>
      <c r="K5" s="26">
        <v>6487</v>
      </c>
      <c r="L5" s="26">
        <v>29595</v>
      </c>
      <c r="M5" s="26">
        <v>26388.46</v>
      </c>
      <c r="N5" s="323">
        <v>3267</v>
      </c>
      <c r="O5" s="323">
        <f>N5*36.2</f>
        <v>118265.40000000001</v>
      </c>
      <c r="P5" s="323">
        <f>N5</f>
        <v>3267</v>
      </c>
      <c r="Q5" s="323">
        <f>P5*31.74</f>
        <v>103694.58</v>
      </c>
      <c r="R5" s="461" t="s">
        <v>198</v>
      </c>
      <c r="S5" s="228"/>
    </row>
    <row r="6" spans="1:19" x14ac:dyDescent="0.2">
      <c r="A6" s="3" t="s">
        <v>1</v>
      </c>
      <c r="B6" s="2">
        <v>368</v>
      </c>
      <c r="C6" s="2">
        <f t="shared" ref="C6:C16" si="0">B6*474.82</f>
        <v>174733.76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"/>
      <c r="I6" s="2"/>
      <c r="J6" s="26">
        <v>20943</v>
      </c>
      <c r="K6" s="26">
        <v>5858</v>
      </c>
      <c r="L6" s="26">
        <v>26801</v>
      </c>
      <c r="M6" s="26">
        <v>23901.53</v>
      </c>
      <c r="N6" s="324"/>
      <c r="O6" s="324">
        <f t="shared" ref="O6:O16" si="3">N6*58.26</f>
        <v>0</v>
      </c>
      <c r="P6" s="324"/>
      <c r="Q6" s="324"/>
      <c r="R6" s="462"/>
      <c r="S6" s="228"/>
    </row>
    <row r="7" spans="1:19" x14ac:dyDescent="0.2">
      <c r="A7" s="3" t="s">
        <v>2</v>
      </c>
      <c r="B7" s="2">
        <v>323</v>
      </c>
      <c r="C7" s="2">
        <f t="shared" si="0"/>
        <v>153366.85999999999</v>
      </c>
      <c r="D7" s="52"/>
      <c r="E7" s="16">
        <f t="shared" si="1"/>
        <v>0</v>
      </c>
      <c r="F7" s="2">
        <v>0</v>
      </c>
      <c r="G7" s="2">
        <f t="shared" si="2"/>
        <v>0</v>
      </c>
      <c r="H7" s="2"/>
      <c r="I7" s="2"/>
      <c r="J7" s="26">
        <v>22995</v>
      </c>
      <c r="K7" s="26">
        <v>6340</v>
      </c>
      <c r="L7" s="26">
        <v>29335</v>
      </c>
      <c r="M7" s="26">
        <v>26180.3</v>
      </c>
      <c r="N7" s="324"/>
      <c r="O7" s="324">
        <f t="shared" si="3"/>
        <v>0</v>
      </c>
      <c r="P7" s="324"/>
      <c r="Q7" s="324"/>
      <c r="R7" s="462"/>
      <c r="S7" s="228"/>
    </row>
    <row r="8" spans="1:19" x14ac:dyDescent="0.2">
      <c r="A8" s="3" t="s">
        <v>3</v>
      </c>
      <c r="B8" s="2">
        <v>226</v>
      </c>
      <c r="C8" s="2">
        <f t="shared" si="0"/>
        <v>107309.31999999999</v>
      </c>
      <c r="D8" s="52"/>
      <c r="E8" s="16">
        <f t="shared" si="1"/>
        <v>0</v>
      </c>
      <c r="F8" s="2">
        <v>0</v>
      </c>
      <c r="G8" s="2">
        <f t="shared" si="2"/>
        <v>0</v>
      </c>
      <c r="H8" s="2"/>
      <c r="I8" s="2"/>
      <c r="J8" s="26">
        <v>21627</v>
      </c>
      <c r="K8" s="26">
        <v>6124</v>
      </c>
      <c r="L8" s="26">
        <v>27751</v>
      </c>
      <c r="M8" s="26">
        <v>24733.41</v>
      </c>
      <c r="N8" s="324"/>
      <c r="O8" s="324">
        <f t="shared" si="3"/>
        <v>0</v>
      </c>
      <c r="P8" s="324"/>
      <c r="Q8" s="324"/>
      <c r="R8" s="462"/>
      <c r="S8" s="228"/>
    </row>
    <row r="9" spans="1:19" x14ac:dyDescent="0.2">
      <c r="A9" s="3" t="s">
        <v>4</v>
      </c>
      <c r="B9" s="2">
        <v>184</v>
      </c>
      <c r="C9" s="2">
        <f t="shared" si="0"/>
        <v>87366.88</v>
      </c>
      <c r="D9" s="52"/>
      <c r="E9" s="16">
        <f t="shared" si="1"/>
        <v>0</v>
      </c>
      <c r="F9" s="2">
        <v>0</v>
      </c>
      <c r="G9" s="2">
        <f t="shared" si="2"/>
        <v>0</v>
      </c>
      <c r="H9" s="2"/>
      <c r="I9" s="2"/>
      <c r="J9" s="26">
        <v>21579</v>
      </c>
      <c r="K9" s="26">
        <v>6170</v>
      </c>
      <c r="L9" s="26">
        <v>27749</v>
      </c>
      <c r="M9" s="26">
        <v>24719.42</v>
      </c>
      <c r="N9" s="324"/>
      <c r="O9" s="324">
        <f t="shared" si="3"/>
        <v>0</v>
      </c>
      <c r="P9" s="324"/>
      <c r="Q9" s="324"/>
      <c r="R9" s="462"/>
      <c r="S9" s="228"/>
    </row>
    <row r="10" spans="1:19" x14ac:dyDescent="0.2">
      <c r="A10" s="3" t="s">
        <v>5</v>
      </c>
      <c r="B10" s="2">
        <v>63</v>
      </c>
      <c r="C10" s="2">
        <f t="shared" si="0"/>
        <v>29913.66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"/>
      <c r="I10" s="2"/>
      <c r="J10" s="26">
        <v>17529</v>
      </c>
      <c r="K10" s="26">
        <v>5862</v>
      </c>
      <c r="L10" s="26">
        <v>23391</v>
      </c>
      <c r="M10" s="26">
        <v>20663.38</v>
      </c>
      <c r="N10" s="325"/>
      <c r="O10" s="325">
        <f t="shared" si="3"/>
        <v>0</v>
      </c>
      <c r="P10" s="325"/>
      <c r="Q10" s="325"/>
      <c r="R10" s="463"/>
      <c r="S10" s="228"/>
    </row>
    <row r="11" spans="1:19" x14ac:dyDescent="0.2">
      <c r="A11" s="3" t="s">
        <v>6</v>
      </c>
      <c r="B11" s="2">
        <v>59</v>
      </c>
      <c r="C11" s="2">
        <f t="shared" si="0"/>
        <v>28014.38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"/>
      <c r="I11" s="2"/>
      <c r="J11" s="26">
        <v>16485</v>
      </c>
      <c r="K11" s="26">
        <v>5224</v>
      </c>
      <c r="L11" s="26">
        <v>21709</v>
      </c>
      <c r="M11" s="26">
        <v>19234.439999999999</v>
      </c>
      <c r="N11" s="323">
        <v>4112</v>
      </c>
      <c r="O11" s="323">
        <f>N11*36.2</f>
        <v>148854.40000000002</v>
      </c>
      <c r="P11" s="323">
        <f>N11</f>
        <v>4112</v>
      </c>
      <c r="Q11" s="323">
        <f>P11*31.74</f>
        <v>130514.87999999999</v>
      </c>
      <c r="R11" s="461" t="s">
        <v>199</v>
      </c>
      <c r="S11" s="228"/>
    </row>
    <row r="12" spans="1:19" x14ac:dyDescent="0.2">
      <c r="A12" s="3" t="s">
        <v>7</v>
      </c>
      <c r="B12" s="2">
        <v>64</v>
      </c>
      <c r="C12" s="2">
        <f t="shared" si="0"/>
        <v>30388.48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"/>
      <c r="I12" s="2"/>
      <c r="J12" s="26">
        <v>16756</v>
      </c>
      <c r="K12" s="26">
        <v>4828</v>
      </c>
      <c r="L12" s="26">
        <v>21584</v>
      </c>
      <c r="M12" s="26">
        <v>19219.93</v>
      </c>
      <c r="N12" s="324"/>
      <c r="O12" s="324">
        <f t="shared" si="3"/>
        <v>0</v>
      </c>
      <c r="P12" s="324"/>
      <c r="Q12" s="324"/>
      <c r="R12" s="462"/>
      <c r="S12" s="228"/>
    </row>
    <row r="13" spans="1:19" x14ac:dyDescent="0.2">
      <c r="A13" s="3" t="s">
        <v>8</v>
      </c>
      <c r="B13" s="2">
        <v>80</v>
      </c>
      <c r="C13" s="2">
        <f t="shared" si="0"/>
        <v>37985.599999999999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"/>
      <c r="I13" s="2"/>
      <c r="J13" s="26">
        <v>17015</v>
      </c>
      <c r="K13" s="26">
        <v>4800</v>
      </c>
      <c r="L13" s="26">
        <v>21815</v>
      </c>
      <c r="M13" s="26">
        <v>19446.580000000002</v>
      </c>
      <c r="N13" s="324"/>
      <c r="O13" s="324">
        <f t="shared" si="3"/>
        <v>0</v>
      </c>
      <c r="P13" s="324"/>
      <c r="Q13" s="324"/>
      <c r="R13" s="462"/>
      <c r="S13" s="228"/>
    </row>
    <row r="14" spans="1:19" x14ac:dyDescent="0.2">
      <c r="A14" s="3" t="s">
        <v>9</v>
      </c>
      <c r="B14" s="2">
        <v>126</v>
      </c>
      <c r="C14" s="2">
        <f t="shared" si="0"/>
        <v>59827.32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"/>
      <c r="I14" s="2"/>
      <c r="J14" s="26">
        <v>32318</v>
      </c>
      <c r="K14" s="26">
        <v>9876</v>
      </c>
      <c r="L14" s="26">
        <v>42194</v>
      </c>
      <c r="M14" s="26">
        <v>37457.379999999997</v>
      </c>
      <c r="N14" s="324"/>
      <c r="O14" s="324">
        <f t="shared" si="3"/>
        <v>0</v>
      </c>
      <c r="P14" s="324"/>
      <c r="Q14" s="324"/>
      <c r="R14" s="462"/>
      <c r="S14" s="228"/>
    </row>
    <row r="15" spans="1:19" x14ac:dyDescent="0.2">
      <c r="A15" s="3" t="s">
        <v>10</v>
      </c>
      <c r="B15" s="2">
        <v>438</v>
      </c>
      <c r="C15" s="2">
        <f t="shared" si="0"/>
        <v>207971.16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"/>
      <c r="I15" s="2"/>
      <c r="J15" s="26">
        <v>53728</v>
      </c>
      <c r="K15" s="26">
        <v>10802</v>
      </c>
      <c r="L15" s="26">
        <v>64530</v>
      </c>
      <c r="M15" s="26">
        <v>58417.41</v>
      </c>
      <c r="N15" s="324"/>
      <c r="O15" s="324">
        <f t="shared" si="3"/>
        <v>0</v>
      </c>
      <c r="P15" s="324"/>
      <c r="Q15" s="324"/>
      <c r="R15" s="462"/>
      <c r="S15" s="228"/>
    </row>
    <row r="16" spans="1:19" x14ac:dyDescent="0.2">
      <c r="A16" s="3" t="s">
        <v>11</v>
      </c>
      <c r="B16" s="2">
        <v>453</v>
      </c>
      <c r="C16" s="2">
        <f t="shared" si="0"/>
        <v>215093.46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"/>
      <c r="I16" s="2"/>
      <c r="J16" s="26">
        <v>50031</v>
      </c>
      <c r="K16" s="26">
        <v>10201</v>
      </c>
      <c r="L16" s="26">
        <f t="shared" ref="L16" si="4">J16+K16</f>
        <v>60232</v>
      </c>
      <c r="M16" s="26">
        <v>54495.38</v>
      </c>
      <c r="N16" s="325"/>
      <c r="O16" s="325">
        <f t="shared" si="3"/>
        <v>0</v>
      </c>
      <c r="P16" s="325"/>
      <c r="Q16" s="325"/>
      <c r="R16" s="463"/>
      <c r="S16" s="228"/>
    </row>
    <row r="17" spans="1:18" x14ac:dyDescent="0.2">
      <c r="A17" s="4" t="s">
        <v>20</v>
      </c>
      <c r="B17" s="5">
        <f>SUM(B5:B16)</f>
        <v>2819</v>
      </c>
      <c r="C17" s="5">
        <f t="shared" ref="C17:G17" si="5">SUM(C5:C16)</f>
        <v>1338517.5799999998</v>
      </c>
      <c r="D17" s="53">
        <f t="shared" si="5"/>
        <v>0</v>
      </c>
      <c r="E17" s="5">
        <f t="shared" si="5"/>
        <v>0</v>
      </c>
      <c r="F17" s="5">
        <f t="shared" si="5"/>
        <v>0</v>
      </c>
      <c r="G17" s="5">
        <f t="shared" si="5"/>
        <v>0</v>
      </c>
      <c r="H17" s="5"/>
      <c r="I17" s="5"/>
      <c r="J17" s="5">
        <f>SUM(J5:J16)</f>
        <v>314114</v>
      </c>
      <c r="K17" s="5">
        <f t="shared" ref="K17:O17" si="6">SUM(K5:K16)</f>
        <v>82572</v>
      </c>
      <c r="L17" s="5">
        <f t="shared" si="6"/>
        <v>396686</v>
      </c>
      <c r="M17" s="5">
        <f t="shared" si="6"/>
        <v>354857.62</v>
      </c>
      <c r="N17" s="103">
        <f t="shared" si="6"/>
        <v>7379</v>
      </c>
      <c r="O17" s="103">
        <f t="shared" si="6"/>
        <v>267119.80000000005</v>
      </c>
      <c r="P17" s="103">
        <f>SUM(P5:P16)</f>
        <v>7379</v>
      </c>
      <c r="Q17" s="103">
        <f>SUM(Q5:Q16)</f>
        <v>234209.46</v>
      </c>
      <c r="R17" s="5"/>
    </row>
    <row r="18" spans="1:18" x14ac:dyDescent="0.2">
      <c r="A18" s="1"/>
      <c r="B18" s="1"/>
      <c r="C18" s="1"/>
      <c r="D18" s="1"/>
      <c r="E18" s="28"/>
      <c r="F18" s="54"/>
      <c r="G18" s="55"/>
      <c r="H18" s="54"/>
      <c r="I18" s="55"/>
      <c r="J18" s="29"/>
      <c r="K18" s="29"/>
      <c r="L18" s="29"/>
      <c r="M18" s="32"/>
      <c r="N18" s="27"/>
      <c r="O18" s="32"/>
      <c r="P18" s="32"/>
    </row>
    <row r="19" spans="1:18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3" spans="1:18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304"/>
      <c r="K23" s="305"/>
      <c r="L23" s="305"/>
      <c r="M23" s="306"/>
      <c r="N23" s="322"/>
      <c r="O23" s="322"/>
      <c r="P23" s="92"/>
    </row>
    <row r="24" spans="1:18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304" t="s">
        <v>14</v>
      </c>
      <c r="K24" s="305"/>
      <c r="L24" s="305"/>
      <c r="M24" s="306"/>
      <c r="N24" s="322" t="s">
        <v>15</v>
      </c>
      <c r="O24" s="322"/>
      <c r="P24" s="92"/>
    </row>
    <row r="25" spans="1:18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8" t="s">
        <v>35</v>
      </c>
      <c r="K25" s="8" t="s">
        <v>36</v>
      </c>
      <c r="L25" s="8" t="s">
        <v>37</v>
      </c>
      <c r="M25" s="8" t="s">
        <v>17</v>
      </c>
      <c r="N25" s="9" t="s">
        <v>23</v>
      </c>
      <c r="O25" s="9" t="s">
        <v>24</v>
      </c>
      <c r="P25" s="243"/>
    </row>
    <row r="26" spans="1:18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2"/>
      <c r="I26" s="2"/>
      <c r="J26" s="26"/>
      <c r="K26" s="26"/>
      <c r="L26" s="26">
        <f>J26+K26</f>
        <v>0</v>
      </c>
      <c r="M26" s="26"/>
      <c r="N26" s="50"/>
      <c r="O26" s="16">
        <f>N26*58.26</f>
        <v>0</v>
      </c>
      <c r="P26" s="244"/>
    </row>
    <row r="27" spans="1:18" x14ac:dyDescent="0.2">
      <c r="A27" s="3" t="s">
        <v>1</v>
      </c>
      <c r="B27" s="46">
        <f t="shared" ref="B27:C37" si="7">D27+F27</f>
        <v>0</v>
      </c>
      <c r="C27" s="2">
        <f t="shared" si="7"/>
        <v>0</v>
      </c>
      <c r="D27" s="52"/>
      <c r="E27" s="16">
        <f t="shared" ref="E27:E37" si="8">D27*513.8</f>
        <v>0</v>
      </c>
      <c r="F27" s="2">
        <v>0</v>
      </c>
      <c r="G27" s="2">
        <f t="shared" ref="G27:G37" si="9">F27*336.1423</f>
        <v>0</v>
      </c>
      <c r="H27" s="2"/>
      <c r="I27" s="2"/>
      <c r="J27" s="26"/>
      <c r="K27" s="26"/>
      <c r="L27" s="26">
        <f t="shared" ref="L27:L38" si="10">J27+K27</f>
        <v>0</v>
      </c>
      <c r="M27" s="26"/>
      <c r="N27" s="50"/>
      <c r="O27" s="16">
        <f t="shared" ref="O27:O37" si="11">N27*58.26</f>
        <v>0</v>
      </c>
      <c r="P27" s="244"/>
    </row>
    <row r="28" spans="1:18" x14ac:dyDescent="0.2">
      <c r="A28" s="3" t="s">
        <v>2</v>
      </c>
      <c r="B28" s="46">
        <f t="shared" si="7"/>
        <v>0</v>
      </c>
      <c r="C28" s="2">
        <f t="shared" si="7"/>
        <v>0</v>
      </c>
      <c r="D28" s="52"/>
      <c r="E28" s="16">
        <f t="shared" si="8"/>
        <v>0</v>
      </c>
      <c r="F28" s="2">
        <v>0</v>
      </c>
      <c r="G28" s="2">
        <f t="shared" si="9"/>
        <v>0</v>
      </c>
      <c r="H28" s="2"/>
      <c r="I28" s="2"/>
      <c r="J28" s="26"/>
      <c r="K28" s="26"/>
      <c r="L28" s="26">
        <f t="shared" si="10"/>
        <v>0</v>
      </c>
      <c r="M28" s="26"/>
      <c r="N28" s="50"/>
      <c r="O28" s="16">
        <f t="shared" si="11"/>
        <v>0</v>
      </c>
      <c r="P28" s="244"/>
    </row>
    <row r="29" spans="1:18" x14ac:dyDescent="0.2">
      <c r="A29" s="3" t="s">
        <v>3</v>
      </c>
      <c r="B29" s="46">
        <f t="shared" si="7"/>
        <v>0</v>
      </c>
      <c r="C29" s="2">
        <f t="shared" si="7"/>
        <v>0</v>
      </c>
      <c r="D29" s="52"/>
      <c r="E29" s="16">
        <f t="shared" si="8"/>
        <v>0</v>
      </c>
      <c r="F29" s="2">
        <v>0</v>
      </c>
      <c r="G29" s="2">
        <f t="shared" si="9"/>
        <v>0</v>
      </c>
      <c r="H29" s="2"/>
      <c r="I29" s="2"/>
      <c r="J29" s="26"/>
      <c r="K29" s="26"/>
      <c r="L29" s="26">
        <f t="shared" si="10"/>
        <v>0</v>
      </c>
      <c r="M29" s="26"/>
      <c r="N29" s="50"/>
      <c r="O29" s="16">
        <f t="shared" si="11"/>
        <v>0</v>
      </c>
      <c r="P29" s="244"/>
    </row>
    <row r="30" spans="1:18" x14ac:dyDescent="0.2">
      <c r="A30" s="3" t="s">
        <v>4</v>
      </c>
      <c r="B30" s="46">
        <f t="shared" si="7"/>
        <v>0</v>
      </c>
      <c r="C30" s="2">
        <f t="shared" si="7"/>
        <v>0</v>
      </c>
      <c r="D30" s="52"/>
      <c r="E30" s="16">
        <f t="shared" si="8"/>
        <v>0</v>
      </c>
      <c r="F30" s="2">
        <v>0</v>
      </c>
      <c r="G30" s="2">
        <f t="shared" si="9"/>
        <v>0</v>
      </c>
      <c r="H30" s="2"/>
      <c r="I30" s="2"/>
      <c r="J30" s="26"/>
      <c r="K30" s="26"/>
      <c r="L30" s="26">
        <f t="shared" si="10"/>
        <v>0</v>
      </c>
      <c r="M30" s="26"/>
      <c r="N30" s="50"/>
      <c r="O30" s="16">
        <f t="shared" si="11"/>
        <v>0</v>
      </c>
      <c r="P30" s="244"/>
    </row>
    <row r="31" spans="1:18" x14ac:dyDescent="0.2">
      <c r="A31" s="3" t="s">
        <v>5</v>
      </c>
      <c r="B31" s="46">
        <f t="shared" si="7"/>
        <v>0</v>
      </c>
      <c r="C31" s="2">
        <f t="shared" si="7"/>
        <v>0</v>
      </c>
      <c r="D31" s="52"/>
      <c r="E31" s="16">
        <f t="shared" si="8"/>
        <v>0</v>
      </c>
      <c r="F31" s="2">
        <v>0</v>
      </c>
      <c r="G31" s="2">
        <f t="shared" si="9"/>
        <v>0</v>
      </c>
      <c r="H31" s="2"/>
      <c r="I31" s="2"/>
      <c r="J31" s="26"/>
      <c r="K31" s="26"/>
      <c r="L31" s="26">
        <f t="shared" si="10"/>
        <v>0</v>
      </c>
      <c r="M31" s="26"/>
      <c r="N31" s="50"/>
      <c r="O31" s="16">
        <f t="shared" si="11"/>
        <v>0</v>
      </c>
      <c r="P31" s="244"/>
    </row>
    <row r="32" spans="1:18" x14ac:dyDescent="0.2">
      <c r="A32" s="3" t="s">
        <v>6</v>
      </c>
      <c r="B32" s="46">
        <f t="shared" si="7"/>
        <v>0</v>
      </c>
      <c r="C32" s="2">
        <f t="shared" si="7"/>
        <v>0</v>
      </c>
      <c r="D32" s="52"/>
      <c r="E32" s="16">
        <f t="shared" si="8"/>
        <v>0</v>
      </c>
      <c r="F32" s="2">
        <v>0</v>
      </c>
      <c r="G32" s="2">
        <f t="shared" si="9"/>
        <v>0</v>
      </c>
      <c r="H32" s="2"/>
      <c r="I32" s="2"/>
      <c r="J32" s="26"/>
      <c r="K32" s="26"/>
      <c r="L32" s="26">
        <f t="shared" si="10"/>
        <v>0</v>
      </c>
      <c r="M32" s="26"/>
      <c r="N32" s="50"/>
      <c r="O32" s="16">
        <f t="shared" si="11"/>
        <v>0</v>
      </c>
      <c r="P32" s="244"/>
    </row>
    <row r="33" spans="1:16" x14ac:dyDescent="0.2">
      <c r="A33" s="3" t="s">
        <v>7</v>
      </c>
      <c r="B33" s="46">
        <f t="shared" si="7"/>
        <v>0</v>
      </c>
      <c r="C33" s="2">
        <f t="shared" si="7"/>
        <v>0</v>
      </c>
      <c r="D33" s="52"/>
      <c r="E33" s="16">
        <f t="shared" si="8"/>
        <v>0</v>
      </c>
      <c r="F33" s="2">
        <v>0</v>
      </c>
      <c r="G33" s="2">
        <f t="shared" si="9"/>
        <v>0</v>
      </c>
      <c r="H33" s="2"/>
      <c r="I33" s="2"/>
      <c r="J33" s="26"/>
      <c r="K33" s="26"/>
      <c r="L33" s="26">
        <f t="shared" si="10"/>
        <v>0</v>
      </c>
      <c r="M33" s="26"/>
      <c r="N33" s="50"/>
      <c r="O33" s="16">
        <f t="shared" si="11"/>
        <v>0</v>
      </c>
      <c r="P33" s="244"/>
    </row>
    <row r="34" spans="1:16" x14ac:dyDescent="0.2">
      <c r="A34" s="3" t="s">
        <v>8</v>
      </c>
      <c r="B34" s="46">
        <f t="shared" si="7"/>
        <v>0</v>
      </c>
      <c r="C34" s="2">
        <f t="shared" si="7"/>
        <v>0</v>
      </c>
      <c r="D34" s="52"/>
      <c r="E34" s="16">
        <f t="shared" si="8"/>
        <v>0</v>
      </c>
      <c r="F34" s="2">
        <v>0</v>
      </c>
      <c r="G34" s="2">
        <f t="shared" si="9"/>
        <v>0</v>
      </c>
      <c r="H34" s="2"/>
      <c r="I34" s="2"/>
      <c r="J34" s="26"/>
      <c r="K34" s="26"/>
      <c r="L34" s="26">
        <f t="shared" si="10"/>
        <v>0</v>
      </c>
      <c r="M34" s="26"/>
      <c r="N34" s="50"/>
      <c r="O34" s="16">
        <f t="shared" si="11"/>
        <v>0</v>
      </c>
      <c r="P34" s="244"/>
    </row>
    <row r="35" spans="1:16" x14ac:dyDescent="0.2">
      <c r="A35" s="3" t="s">
        <v>9</v>
      </c>
      <c r="B35" s="46">
        <f t="shared" si="7"/>
        <v>0</v>
      </c>
      <c r="C35" s="2">
        <f t="shared" si="7"/>
        <v>0</v>
      </c>
      <c r="D35" s="52"/>
      <c r="E35" s="16">
        <f t="shared" si="8"/>
        <v>0</v>
      </c>
      <c r="F35" s="2">
        <v>0</v>
      </c>
      <c r="G35" s="2">
        <f t="shared" si="9"/>
        <v>0</v>
      </c>
      <c r="H35" s="2"/>
      <c r="I35" s="2"/>
      <c r="J35" s="26"/>
      <c r="K35" s="26"/>
      <c r="L35" s="26">
        <f t="shared" si="10"/>
        <v>0</v>
      </c>
      <c r="M35" s="26"/>
      <c r="N35" s="50"/>
      <c r="O35" s="16">
        <f t="shared" si="11"/>
        <v>0</v>
      </c>
      <c r="P35" s="244"/>
    </row>
    <row r="36" spans="1:16" x14ac:dyDescent="0.2">
      <c r="A36" s="3" t="s">
        <v>10</v>
      </c>
      <c r="B36" s="46">
        <f t="shared" si="7"/>
        <v>0</v>
      </c>
      <c r="C36" s="2">
        <f t="shared" si="7"/>
        <v>0</v>
      </c>
      <c r="D36" s="52"/>
      <c r="E36" s="16">
        <f t="shared" si="8"/>
        <v>0</v>
      </c>
      <c r="F36" s="2">
        <v>0</v>
      </c>
      <c r="G36" s="2">
        <f t="shared" si="9"/>
        <v>0</v>
      </c>
      <c r="H36" s="2"/>
      <c r="I36" s="2"/>
      <c r="J36" s="26"/>
      <c r="K36" s="26"/>
      <c r="L36" s="26">
        <f t="shared" si="10"/>
        <v>0</v>
      </c>
      <c r="M36" s="26"/>
      <c r="N36" s="50"/>
      <c r="O36" s="16">
        <f t="shared" si="11"/>
        <v>0</v>
      </c>
      <c r="P36" s="244"/>
    </row>
    <row r="37" spans="1:16" x14ac:dyDescent="0.2">
      <c r="A37" s="3" t="s">
        <v>11</v>
      </c>
      <c r="B37" s="46">
        <f t="shared" si="7"/>
        <v>0</v>
      </c>
      <c r="C37" s="2">
        <f t="shared" si="7"/>
        <v>0</v>
      </c>
      <c r="D37" s="52"/>
      <c r="E37" s="16">
        <f t="shared" si="8"/>
        <v>0</v>
      </c>
      <c r="F37" s="2">
        <v>0</v>
      </c>
      <c r="G37" s="2">
        <f t="shared" si="9"/>
        <v>0</v>
      </c>
      <c r="H37" s="2"/>
      <c r="I37" s="2"/>
      <c r="J37" s="26"/>
      <c r="K37" s="26"/>
      <c r="L37" s="26">
        <f t="shared" si="10"/>
        <v>0</v>
      </c>
      <c r="M37" s="26"/>
      <c r="N37" s="50"/>
      <c r="O37" s="16">
        <f t="shared" si="11"/>
        <v>0</v>
      </c>
      <c r="P37" s="244"/>
    </row>
    <row r="38" spans="1:16" x14ac:dyDescent="0.2">
      <c r="A38" s="4" t="s">
        <v>20</v>
      </c>
      <c r="B38" s="53">
        <f>SUM(B26:B37)</f>
        <v>0</v>
      </c>
      <c r="C38" s="5">
        <f t="shared" ref="C38:G38" si="12">SUM(C26:C37)</f>
        <v>0</v>
      </c>
      <c r="D38" s="53">
        <f t="shared" si="12"/>
        <v>0</v>
      </c>
      <c r="E38" s="5">
        <f t="shared" si="12"/>
        <v>0</v>
      </c>
      <c r="F38" s="5">
        <f t="shared" si="12"/>
        <v>0</v>
      </c>
      <c r="G38" s="5">
        <f t="shared" si="12"/>
        <v>0</v>
      </c>
      <c r="H38" s="5"/>
      <c r="I38" s="5"/>
      <c r="J38" s="5"/>
      <c r="K38" s="5"/>
      <c r="L38" s="26">
        <f t="shared" si="10"/>
        <v>0</v>
      </c>
      <c r="M38" s="5"/>
      <c r="N38" s="5">
        <f t="shared" ref="N38:O38" si="13">SUM(N26:N37)</f>
        <v>0</v>
      </c>
      <c r="O38" s="5">
        <f t="shared" si="13"/>
        <v>0</v>
      </c>
      <c r="P38" s="236"/>
    </row>
    <row r="44" spans="1:16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335"/>
      <c r="K44" s="335"/>
      <c r="L44" s="335"/>
      <c r="M44" s="335"/>
      <c r="N44" s="322"/>
      <c r="O44" s="322"/>
      <c r="P44" s="92"/>
    </row>
    <row r="45" spans="1:16" x14ac:dyDescent="0.2">
      <c r="A45" s="320"/>
      <c r="B45" s="7"/>
      <c r="C45" s="7"/>
      <c r="D45" s="7"/>
      <c r="E45" s="7"/>
      <c r="F45" s="7"/>
      <c r="G45" s="7"/>
      <c r="H45" s="20"/>
      <c r="I45" s="20"/>
      <c r="J45" s="8"/>
      <c r="K45" s="8"/>
      <c r="L45" s="8"/>
      <c r="M45" s="8"/>
      <c r="N45" s="9"/>
      <c r="O45" s="9"/>
      <c r="P45" s="243"/>
    </row>
    <row r="46" spans="1:16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245"/>
    </row>
    <row r="47" spans="1:16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245"/>
    </row>
    <row r="48" spans="1:16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245"/>
    </row>
    <row r="49" spans="1:16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245"/>
    </row>
    <row r="50" spans="1:16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245"/>
    </row>
    <row r="51" spans="1:16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245"/>
    </row>
    <row r="52" spans="1:16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245"/>
    </row>
    <row r="53" spans="1:16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245"/>
    </row>
    <row r="54" spans="1:16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245"/>
    </row>
    <row r="55" spans="1:16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245"/>
    </row>
    <row r="56" spans="1:16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245"/>
    </row>
    <row r="57" spans="1:16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245"/>
    </row>
    <row r="58" spans="1:16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36"/>
    </row>
  </sheetData>
  <mergeCells count="45">
    <mergeCell ref="P2:Q2"/>
    <mergeCell ref="P3:Q3"/>
    <mergeCell ref="P5:P10"/>
    <mergeCell ref="Q5:Q10"/>
    <mergeCell ref="P11:P16"/>
    <mergeCell ref="Q11:Q16"/>
    <mergeCell ref="R5:R10"/>
    <mergeCell ref="O5:O10"/>
    <mergeCell ref="N5:N10"/>
    <mergeCell ref="R11:R16"/>
    <mergeCell ref="N11:N16"/>
    <mergeCell ref="O11:O16"/>
    <mergeCell ref="N44:O44"/>
    <mergeCell ref="A44:A45"/>
    <mergeCell ref="B44:C44"/>
    <mergeCell ref="D44:E44"/>
    <mergeCell ref="F44:G44"/>
    <mergeCell ref="H44:I44"/>
    <mergeCell ref="J44:M44"/>
    <mergeCell ref="N23:O23"/>
    <mergeCell ref="B24:C24"/>
    <mergeCell ref="D24:E24"/>
    <mergeCell ref="F24:G24"/>
    <mergeCell ref="H24:I24"/>
    <mergeCell ref="J24:M24"/>
    <mergeCell ref="N24:O24"/>
    <mergeCell ref="J23:M23"/>
    <mergeCell ref="A23:A25"/>
    <mergeCell ref="B23:C23"/>
    <mergeCell ref="D23:E23"/>
    <mergeCell ref="F23:G23"/>
    <mergeCell ref="H23:I23"/>
    <mergeCell ref="N2:O2"/>
    <mergeCell ref="B3:C3"/>
    <mergeCell ref="D3:E3"/>
    <mergeCell ref="F3:G3"/>
    <mergeCell ref="H3:I3"/>
    <mergeCell ref="J3:M3"/>
    <mergeCell ref="N3:O3"/>
    <mergeCell ref="J2:M2"/>
    <mergeCell ref="A2:A4"/>
    <mergeCell ref="B2:C2"/>
    <mergeCell ref="D2:E2"/>
    <mergeCell ref="F2:G2"/>
    <mergeCell ref="H2:I2"/>
  </mergeCells>
  <pageMargins left="0.7" right="0.7" top="0.78740157499999996" bottom="0.78740157499999996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EB466-BA8F-4568-A789-7D8A798D2500}">
  <sheetPr>
    <tabColor theme="0"/>
  </sheetPr>
  <dimension ref="A1:Q58"/>
  <sheetViews>
    <sheetView topLeftCell="A22" workbookViewId="0">
      <selection activeCell="A44" sqref="A44:O58"/>
    </sheetView>
  </sheetViews>
  <sheetFormatPr defaultRowHeight="12.75" x14ac:dyDescent="0.2"/>
  <cols>
    <col min="1" max="1" width="12.7109375" style="102" customWidth="1"/>
    <col min="2" max="9" width="11.7109375" style="102" customWidth="1"/>
    <col min="10" max="15" width="11.7109375" customWidth="1"/>
    <col min="16" max="16" width="11" customWidth="1"/>
    <col min="17" max="17" width="11.42578125" customWidth="1"/>
    <col min="18" max="16384" width="9.140625" style="102"/>
  </cols>
  <sheetData>
    <row r="1" spans="1:17" ht="15" x14ac:dyDescent="0.2">
      <c r="A1" s="126" t="s">
        <v>218</v>
      </c>
      <c r="B1" s="125"/>
      <c r="C1" s="125"/>
      <c r="D1" s="124"/>
      <c r="E1" s="124"/>
      <c r="F1" s="124"/>
      <c r="G1" s="124"/>
      <c r="H1" s="124"/>
      <c r="I1" s="124"/>
      <c r="J1" s="15"/>
      <c r="K1" s="15"/>
      <c r="L1" s="15"/>
      <c r="M1" s="15"/>
      <c r="N1" s="15"/>
      <c r="O1" s="57" t="s">
        <v>33</v>
      </c>
    </row>
    <row r="2" spans="1:17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54"/>
      <c r="I2" s="350"/>
      <c r="J2" s="351" t="s">
        <v>70</v>
      </c>
      <c r="K2" s="356"/>
      <c r="L2" s="356"/>
      <c r="M2" s="357"/>
      <c r="N2" s="362" t="s">
        <v>71</v>
      </c>
      <c r="O2" s="362"/>
      <c r="P2" s="362" t="s">
        <v>72</v>
      </c>
      <c r="Q2" s="362"/>
    </row>
    <row r="3" spans="1:17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29</v>
      </c>
      <c r="I3" s="350"/>
      <c r="J3" s="355" t="s">
        <v>14</v>
      </c>
      <c r="K3" s="356"/>
      <c r="L3" s="356"/>
      <c r="M3" s="357"/>
      <c r="N3" s="361" t="s">
        <v>62</v>
      </c>
      <c r="O3" s="361"/>
      <c r="P3" s="361" t="s">
        <v>63</v>
      </c>
      <c r="Q3" s="361"/>
    </row>
    <row r="4" spans="1:17" ht="14.25" customHeight="1" x14ac:dyDescent="0.2">
      <c r="A4" s="368"/>
      <c r="B4" s="118" t="s">
        <v>16</v>
      </c>
      <c r="C4" s="110" t="s">
        <v>17</v>
      </c>
      <c r="D4" s="110" t="s">
        <v>16</v>
      </c>
      <c r="E4" s="110" t="s">
        <v>17</v>
      </c>
      <c r="F4" s="110" t="s">
        <v>16</v>
      </c>
      <c r="G4" s="110" t="s">
        <v>17</v>
      </c>
      <c r="H4" s="109" t="s">
        <v>18</v>
      </c>
      <c r="I4" s="109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  <c r="P4" s="153" t="s">
        <v>23</v>
      </c>
      <c r="Q4" s="153" t="s">
        <v>24</v>
      </c>
    </row>
    <row r="5" spans="1:17" x14ac:dyDescent="0.2">
      <c r="A5" s="108" t="s">
        <v>0</v>
      </c>
      <c r="B5" s="259">
        <v>80</v>
      </c>
      <c r="C5" s="259">
        <f>B5*474.82</f>
        <v>37985.599999999999</v>
      </c>
      <c r="D5" s="117"/>
      <c r="E5" s="113">
        <f t="shared" ref="E5:E16" si="0">D5*513.8</f>
        <v>0</v>
      </c>
      <c r="F5" s="107">
        <v>0</v>
      </c>
      <c r="G5" s="107">
        <f t="shared" ref="G5:G16" si="1">F5*336.1423</f>
        <v>0</v>
      </c>
      <c r="H5" s="107"/>
      <c r="I5" s="107"/>
      <c r="J5" s="498">
        <v>1279</v>
      </c>
      <c r="K5" s="498">
        <v>0</v>
      </c>
      <c r="L5" s="498">
        <v>1279</v>
      </c>
      <c r="M5" s="498">
        <v>5717.79</v>
      </c>
      <c r="N5" s="492">
        <v>103</v>
      </c>
      <c r="O5" s="495">
        <v>3728.6</v>
      </c>
      <c r="P5" s="492">
        <v>103</v>
      </c>
      <c r="Q5" s="495">
        <v>3269.22</v>
      </c>
    </row>
    <row r="6" spans="1:17" x14ac:dyDescent="0.2">
      <c r="A6" s="108" t="s">
        <v>1</v>
      </c>
      <c r="B6" s="259">
        <v>49</v>
      </c>
      <c r="C6" s="259">
        <f t="shared" ref="C6:C16" si="2">B6*474.82</f>
        <v>23266.18</v>
      </c>
      <c r="D6" s="115"/>
      <c r="E6" s="113">
        <f t="shared" si="0"/>
        <v>0</v>
      </c>
      <c r="F6" s="107">
        <v>0</v>
      </c>
      <c r="G6" s="107">
        <f t="shared" si="1"/>
        <v>0</v>
      </c>
      <c r="H6" s="107"/>
      <c r="I6" s="107"/>
      <c r="J6" s="499"/>
      <c r="K6" s="499"/>
      <c r="L6" s="499"/>
      <c r="M6" s="499"/>
      <c r="N6" s="493"/>
      <c r="O6" s="496"/>
      <c r="P6" s="493"/>
      <c r="Q6" s="496"/>
    </row>
    <row r="7" spans="1:17" x14ac:dyDescent="0.2">
      <c r="A7" s="108" t="s">
        <v>2</v>
      </c>
      <c r="B7" s="259">
        <v>45</v>
      </c>
      <c r="C7" s="259">
        <f t="shared" si="2"/>
        <v>21366.9</v>
      </c>
      <c r="D7" s="115"/>
      <c r="E7" s="113">
        <f t="shared" si="0"/>
        <v>0</v>
      </c>
      <c r="F7" s="107">
        <v>0</v>
      </c>
      <c r="G7" s="107">
        <f t="shared" si="1"/>
        <v>0</v>
      </c>
      <c r="H7" s="107"/>
      <c r="I7" s="107"/>
      <c r="J7" s="500"/>
      <c r="K7" s="500"/>
      <c r="L7" s="500"/>
      <c r="M7" s="500"/>
      <c r="N7" s="493"/>
      <c r="O7" s="496"/>
      <c r="P7" s="493"/>
      <c r="Q7" s="496"/>
    </row>
    <row r="8" spans="1:17" x14ac:dyDescent="0.2">
      <c r="A8" s="108" t="s">
        <v>3</v>
      </c>
      <c r="B8" s="259">
        <v>44</v>
      </c>
      <c r="C8" s="259">
        <f t="shared" si="2"/>
        <v>20892.079999999998</v>
      </c>
      <c r="D8" s="115"/>
      <c r="E8" s="113">
        <f t="shared" si="0"/>
        <v>0</v>
      </c>
      <c r="F8" s="107">
        <v>0</v>
      </c>
      <c r="G8" s="107">
        <f t="shared" si="1"/>
        <v>0</v>
      </c>
      <c r="H8" s="107"/>
      <c r="I8" s="107"/>
      <c r="J8" s="498">
        <v>3171.12</v>
      </c>
      <c r="K8" s="498">
        <v>0</v>
      </c>
      <c r="L8" s="498">
        <v>3171</v>
      </c>
      <c r="M8" s="498">
        <v>15778.29</v>
      </c>
      <c r="N8" s="493"/>
      <c r="O8" s="496"/>
      <c r="P8" s="493"/>
      <c r="Q8" s="496"/>
    </row>
    <row r="9" spans="1:17" x14ac:dyDescent="0.2">
      <c r="A9" s="108" t="s">
        <v>4</v>
      </c>
      <c r="B9" s="259">
        <v>38</v>
      </c>
      <c r="C9" s="259">
        <f t="shared" si="2"/>
        <v>18043.16</v>
      </c>
      <c r="D9" s="115"/>
      <c r="E9" s="113">
        <f t="shared" si="0"/>
        <v>0</v>
      </c>
      <c r="F9" s="107">
        <v>0</v>
      </c>
      <c r="G9" s="107">
        <f t="shared" si="1"/>
        <v>0</v>
      </c>
      <c r="H9" s="107"/>
      <c r="I9" s="107"/>
      <c r="J9" s="499"/>
      <c r="K9" s="499"/>
      <c r="L9" s="499"/>
      <c r="M9" s="499"/>
      <c r="N9" s="493"/>
      <c r="O9" s="496"/>
      <c r="P9" s="493"/>
      <c r="Q9" s="496"/>
    </row>
    <row r="10" spans="1:17" x14ac:dyDescent="0.2">
      <c r="A10" s="108" t="s">
        <v>5</v>
      </c>
      <c r="B10" s="259">
        <v>3</v>
      </c>
      <c r="C10" s="259">
        <f t="shared" si="2"/>
        <v>1424.46</v>
      </c>
      <c r="D10" s="115"/>
      <c r="E10" s="113">
        <f t="shared" si="0"/>
        <v>0</v>
      </c>
      <c r="F10" s="107">
        <v>0</v>
      </c>
      <c r="G10" s="107">
        <f t="shared" si="1"/>
        <v>0</v>
      </c>
      <c r="H10" s="107"/>
      <c r="I10" s="107"/>
      <c r="J10" s="499"/>
      <c r="K10" s="499"/>
      <c r="L10" s="499"/>
      <c r="M10" s="499"/>
      <c r="N10" s="493"/>
      <c r="O10" s="496"/>
      <c r="P10" s="493"/>
      <c r="Q10" s="496"/>
    </row>
    <row r="11" spans="1:17" x14ac:dyDescent="0.2">
      <c r="A11" s="108" t="s">
        <v>6</v>
      </c>
      <c r="B11" s="259">
        <v>0</v>
      </c>
      <c r="C11" s="259">
        <f t="shared" si="2"/>
        <v>0</v>
      </c>
      <c r="D11" s="115"/>
      <c r="E11" s="113">
        <f t="shared" si="0"/>
        <v>0</v>
      </c>
      <c r="F11" s="107">
        <v>0</v>
      </c>
      <c r="G11" s="107">
        <f t="shared" si="1"/>
        <v>0</v>
      </c>
      <c r="H11" s="107"/>
      <c r="I11" s="107"/>
      <c r="J11" s="499"/>
      <c r="K11" s="499"/>
      <c r="L11" s="499"/>
      <c r="M11" s="499"/>
      <c r="N11" s="493"/>
      <c r="O11" s="496"/>
      <c r="P11" s="493"/>
      <c r="Q11" s="496"/>
    </row>
    <row r="12" spans="1:17" x14ac:dyDescent="0.2">
      <c r="A12" s="108" t="s">
        <v>7</v>
      </c>
      <c r="B12" s="259">
        <v>0</v>
      </c>
      <c r="C12" s="259">
        <f t="shared" si="2"/>
        <v>0</v>
      </c>
      <c r="D12" s="115"/>
      <c r="E12" s="113">
        <f t="shared" si="0"/>
        <v>0</v>
      </c>
      <c r="F12" s="107">
        <v>0</v>
      </c>
      <c r="G12" s="107">
        <f t="shared" si="1"/>
        <v>0</v>
      </c>
      <c r="H12" s="107"/>
      <c r="I12" s="107"/>
      <c r="J12" s="499"/>
      <c r="K12" s="499"/>
      <c r="L12" s="499"/>
      <c r="M12" s="499"/>
      <c r="N12" s="493"/>
      <c r="O12" s="496"/>
      <c r="P12" s="493"/>
      <c r="Q12" s="496"/>
    </row>
    <row r="13" spans="1:17" x14ac:dyDescent="0.2">
      <c r="A13" s="108" t="s">
        <v>8</v>
      </c>
      <c r="B13" s="259">
        <v>8</v>
      </c>
      <c r="C13" s="259">
        <f t="shared" si="2"/>
        <v>3798.56</v>
      </c>
      <c r="D13" s="115"/>
      <c r="E13" s="113">
        <f t="shared" si="0"/>
        <v>0</v>
      </c>
      <c r="F13" s="107">
        <v>0</v>
      </c>
      <c r="G13" s="107">
        <f t="shared" si="1"/>
        <v>0</v>
      </c>
      <c r="H13" s="107"/>
      <c r="I13" s="107"/>
      <c r="J13" s="499"/>
      <c r="K13" s="499"/>
      <c r="L13" s="499"/>
      <c r="M13" s="499"/>
      <c r="N13" s="493"/>
      <c r="O13" s="496"/>
      <c r="P13" s="493"/>
      <c r="Q13" s="496"/>
    </row>
    <row r="14" spans="1:17" x14ac:dyDescent="0.2">
      <c r="A14" s="108" t="s">
        <v>9</v>
      </c>
      <c r="B14" s="259">
        <v>22</v>
      </c>
      <c r="C14" s="259">
        <f t="shared" si="2"/>
        <v>10446.039999999999</v>
      </c>
      <c r="D14" s="115"/>
      <c r="E14" s="113">
        <f t="shared" si="0"/>
        <v>0</v>
      </c>
      <c r="F14" s="107">
        <v>0</v>
      </c>
      <c r="G14" s="107">
        <f t="shared" si="1"/>
        <v>0</v>
      </c>
      <c r="H14" s="107"/>
      <c r="I14" s="107"/>
      <c r="J14" s="499"/>
      <c r="K14" s="499"/>
      <c r="L14" s="499"/>
      <c r="M14" s="499"/>
      <c r="N14" s="493"/>
      <c r="O14" s="496"/>
      <c r="P14" s="493"/>
      <c r="Q14" s="496"/>
    </row>
    <row r="15" spans="1:17" x14ac:dyDescent="0.2">
      <c r="A15" s="108" t="s">
        <v>10</v>
      </c>
      <c r="B15" s="259">
        <v>67</v>
      </c>
      <c r="C15" s="259">
        <f t="shared" si="2"/>
        <v>31812.94</v>
      </c>
      <c r="D15" s="115"/>
      <c r="E15" s="113">
        <f t="shared" si="0"/>
        <v>0</v>
      </c>
      <c r="F15" s="107">
        <v>0</v>
      </c>
      <c r="G15" s="107">
        <f t="shared" si="1"/>
        <v>0</v>
      </c>
      <c r="H15" s="107"/>
      <c r="I15" s="107"/>
      <c r="J15" s="499"/>
      <c r="K15" s="499"/>
      <c r="L15" s="499"/>
      <c r="M15" s="499"/>
      <c r="N15" s="493"/>
      <c r="O15" s="496"/>
      <c r="P15" s="493"/>
      <c r="Q15" s="496"/>
    </row>
    <row r="16" spans="1:17" x14ac:dyDescent="0.2">
      <c r="A16" s="108" t="s">
        <v>11</v>
      </c>
      <c r="B16" s="259">
        <v>96</v>
      </c>
      <c r="C16" s="259">
        <f t="shared" si="2"/>
        <v>45582.720000000001</v>
      </c>
      <c r="D16" s="115"/>
      <c r="E16" s="113">
        <f t="shared" si="0"/>
        <v>0</v>
      </c>
      <c r="F16" s="107">
        <v>0</v>
      </c>
      <c r="G16" s="107">
        <f t="shared" si="1"/>
        <v>0</v>
      </c>
      <c r="H16" s="107"/>
      <c r="I16" s="107"/>
      <c r="J16" s="500"/>
      <c r="K16" s="500"/>
      <c r="L16" s="500"/>
      <c r="M16" s="500"/>
      <c r="N16" s="494"/>
      <c r="O16" s="497"/>
      <c r="P16" s="494"/>
      <c r="Q16" s="497"/>
    </row>
    <row r="17" spans="1:17" x14ac:dyDescent="0.2">
      <c r="A17" s="104" t="s">
        <v>20</v>
      </c>
      <c r="B17" s="258">
        <f t="shared" ref="B17:G17" si="3">SUM(B5:B16)</f>
        <v>452</v>
      </c>
      <c r="C17" s="258">
        <f t="shared" si="3"/>
        <v>214618.64</v>
      </c>
      <c r="D17" s="112">
        <f t="shared" si="3"/>
        <v>0</v>
      </c>
      <c r="E17" s="103">
        <f t="shared" si="3"/>
        <v>0</v>
      </c>
      <c r="F17" s="103">
        <f t="shared" si="3"/>
        <v>0</v>
      </c>
      <c r="G17" s="103">
        <f t="shared" si="3"/>
        <v>0</v>
      </c>
      <c r="H17" s="103"/>
      <c r="I17" s="103"/>
      <c r="J17" s="258">
        <f>SUM(J5:J16)</f>
        <v>4450.12</v>
      </c>
      <c r="K17" s="258">
        <f t="shared" ref="K17:M17" si="4">SUM(K5:K16)</f>
        <v>0</v>
      </c>
      <c r="L17" s="258">
        <f t="shared" si="4"/>
        <v>4450</v>
      </c>
      <c r="M17" s="258">
        <f t="shared" si="4"/>
        <v>21496.080000000002</v>
      </c>
      <c r="N17" s="258">
        <f>SUM(N5)</f>
        <v>103</v>
      </c>
      <c r="O17" s="258">
        <f>SUM(O5:O15)</f>
        <v>3728.6</v>
      </c>
      <c r="P17" s="258">
        <f>SUM(P5:P15)</f>
        <v>103</v>
      </c>
      <c r="Q17" s="258">
        <f>SUM(Q5:Q15)</f>
        <v>3269.22</v>
      </c>
    </row>
    <row r="18" spans="1:17" x14ac:dyDescent="0.2">
      <c r="A18" s="119"/>
      <c r="B18" s="119"/>
      <c r="C18" s="119"/>
      <c r="D18" s="119"/>
      <c r="E18" s="123"/>
      <c r="F18" s="122"/>
      <c r="G18" s="121"/>
      <c r="H18" s="122"/>
      <c r="I18" s="121"/>
      <c r="J18" s="143" t="s">
        <v>67</v>
      </c>
      <c r="K18" s="29"/>
      <c r="L18" s="29"/>
      <c r="M18" s="32"/>
      <c r="N18" s="27" t="s">
        <v>64</v>
      </c>
      <c r="O18" s="32"/>
      <c r="P18" s="27" t="s">
        <v>64</v>
      </c>
    </row>
    <row r="19" spans="1:17" x14ac:dyDescent="0.2">
      <c r="A19" s="119"/>
      <c r="B19" s="119"/>
      <c r="C19" s="119"/>
      <c r="D19" s="119"/>
      <c r="E19" s="119"/>
      <c r="F19" s="119"/>
      <c r="G19" s="119"/>
      <c r="H19" s="119"/>
      <c r="I19" s="119"/>
      <c r="J19" s="1" t="s">
        <v>73</v>
      </c>
      <c r="K19" s="1"/>
      <c r="L19" s="1"/>
      <c r="M19" s="1"/>
      <c r="N19" s="1" t="s">
        <v>65</v>
      </c>
      <c r="O19" s="1"/>
      <c r="P19" s="1" t="s">
        <v>65</v>
      </c>
    </row>
    <row r="20" spans="1:17" x14ac:dyDescent="0.2">
      <c r="J20" s="142" t="s">
        <v>74</v>
      </c>
    </row>
    <row r="23" spans="1:17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414" t="s">
        <v>70</v>
      </c>
      <c r="K23" s="417"/>
      <c r="L23" s="417"/>
      <c r="M23" s="418"/>
      <c r="N23" s="362" t="s">
        <v>71</v>
      </c>
      <c r="O23" s="362"/>
      <c r="P23" s="362" t="s">
        <v>72</v>
      </c>
      <c r="Q23" s="362"/>
    </row>
    <row r="24" spans="1:17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62</v>
      </c>
      <c r="O24" s="361"/>
      <c r="P24" s="361" t="s">
        <v>63</v>
      </c>
      <c r="Q24" s="361"/>
    </row>
    <row r="25" spans="1:17" ht="14.25" x14ac:dyDescent="0.2">
      <c r="A25" s="368"/>
      <c r="B25" s="118" t="s">
        <v>16</v>
      </c>
      <c r="C25" s="110" t="s">
        <v>17</v>
      </c>
      <c r="D25" s="110" t="s">
        <v>16</v>
      </c>
      <c r="E25" s="110" t="s">
        <v>17</v>
      </c>
      <c r="F25" s="110" t="s">
        <v>16</v>
      </c>
      <c r="G25" s="110" t="s">
        <v>17</v>
      </c>
      <c r="H25" s="109" t="s">
        <v>18</v>
      </c>
      <c r="I25" s="109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17</v>
      </c>
      <c r="P25" s="153" t="s">
        <v>23</v>
      </c>
      <c r="Q25" s="153" t="s">
        <v>17</v>
      </c>
    </row>
    <row r="26" spans="1:17" x14ac:dyDescent="0.2">
      <c r="A26" s="108" t="s">
        <v>0</v>
      </c>
      <c r="B26" s="116"/>
      <c r="C26" s="107">
        <f t="shared" ref="C26:C37" si="5">E26+G26</f>
        <v>0</v>
      </c>
      <c r="D26" s="117"/>
      <c r="E26" s="113">
        <f t="shared" ref="E26:E37" si="6">D26*513.8</f>
        <v>0</v>
      </c>
      <c r="F26" s="107">
        <v>0</v>
      </c>
      <c r="G26" s="107">
        <f t="shared" ref="G26:G37" si="7">F26*336.1423</f>
        <v>0</v>
      </c>
      <c r="H26" s="107"/>
      <c r="I26" s="107"/>
      <c r="J26" s="449">
        <v>3967</v>
      </c>
      <c r="K26" s="449">
        <v>0</v>
      </c>
      <c r="L26" s="449">
        <f>J26+K26</f>
        <v>3967</v>
      </c>
      <c r="M26" s="449">
        <v>16473.87</v>
      </c>
      <c r="N26" s="425">
        <v>61</v>
      </c>
      <c r="O26" s="425">
        <v>2065.5</v>
      </c>
      <c r="P26" s="425">
        <v>51</v>
      </c>
      <c r="Q26" s="425">
        <v>1783.98</v>
      </c>
    </row>
    <row r="27" spans="1:17" x14ac:dyDescent="0.2">
      <c r="A27" s="108" t="s">
        <v>1</v>
      </c>
      <c r="B27" s="116"/>
      <c r="C27" s="107">
        <f t="shared" si="5"/>
        <v>0</v>
      </c>
      <c r="D27" s="115"/>
      <c r="E27" s="113">
        <f t="shared" si="6"/>
        <v>0</v>
      </c>
      <c r="F27" s="107">
        <v>0</v>
      </c>
      <c r="G27" s="107">
        <f t="shared" si="7"/>
        <v>0</v>
      </c>
      <c r="H27" s="107"/>
      <c r="I27" s="107"/>
      <c r="J27" s="450"/>
      <c r="K27" s="450"/>
      <c r="L27" s="450"/>
      <c r="M27" s="450"/>
      <c r="N27" s="426"/>
      <c r="O27" s="426"/>
      <c r="P27" s="426"/>
      <c r="Q27" s="426"/>
    </row>
    <row r="28" spans="1:17" x14ac:dyDescent="0.2">
      <c r="A28" s="108" t="s">
        <v>2</v>
      </c>
      <c r="B28" s="116"/>
      <c r="C28" s="107">
        <f t="shared" si="5"/>
        <v>0</v>
      </c>
      <c r="D28" s="115"/>
      <c r="E28" s="113">
        <f t="shared" si="6"/>
        <v>0</v>
      </c>
      <c r="F28" s="107">
        <v>0</v>
      </c>
      <c r="G28" s="107">
        <f t="shared" si="7"/>
        <v>0</v>
      </c>
      <c r="H28" s="107"/>
      <c r="I28" s="107"/>
      <c r="J28" s="451"/>
      <c r="K28" s="451"/>
      <c r="L28" s="451"/>
      <c r="M28" s="451"/>
      <c r="N28" s="426"/>
      <c r="O28" s="426"/>
      <c r="P28" s="426"/>
      <c r="Q28" s="426"/>
    </row>
    <row r="29" spans="1:17" x14ac:dyDescent="0.2">
      <c r="A29" s="108" t="s">
        <v>3</v>
      </c>
      <c r="B29" s="116"/>
      <c r="C29" s="107">
        <f t="shared" si="5"/>
        <v>0</v>
      </c>
      <c r="D29" s="115"/>
      <c r="E29" s="113">
        <f t="shared" si="6"/>
        <v>0</v>
      </c>
      <c r="F29" s="107">
        <v>0</v>
      </c>
      <c r="G29" s="107">
        <f t="shared" si="7"/>
        <v>0</v>
      </c>
      <c r="H29" s="107"/>
      <c r="I29" s="107"/>
      <c r="J29" s="449">
        <v>5979</v>
      </c>
      <c r="K29" s="449">
        <v>4783</v>
      </c>
      <c r="L29" s="449">
        <f t="shared" ref="L29" si="8">J29+K29</f>
        <v>10762</v>
      </c>
      <c r="M29" s="449">
        <v>38069.550000000003</v>
      </c>
      <c r="N29" s="427"/>
      <c r="O29" s="427"/>
      <c r="P29" s="427"/>
      <c r="Q29" s="427"/>
    </row>
    <row r="30" spans="1:17" x14ac:dyDescent="0.2">
      <c r="A30" s="108" t="s">
        <v>4</v>
      </c>
      <c r="B30" s="116"/>
      <c r="C30" s="107">
        <f t="shared" si="5"/>
        <v>0</v>
      </c>
      <c r="D30" s="115"/>
      <c r="E30" s="113">
        <f t="shared" si="6"/>
        <v>0</v>
      </c>
      <c r="F30" s="107">
        <v>0</v>
      </c>
      <c r="G30" s="107">
        <f t="shared" si="7"/>
        <v>0</v>
      </c>
      <c r="H30" s="107"/>
      <c r="I30" s="107"/>
      <c r="J30" s="450"/>
      <c r="K30" s="450"/>
      <c r="L30" s="450"/>
      <c r="M30" s="450"/>
      <c r="N30" s="425">
        <v>40</v>
      </c>
      <c r="O30" s="425">
        <v>1620</v>
      </c>
      <c r="P30" s="425">
        <v>40</v>
      </c>
      <c r="Q30" s="425">
        <v>1399.2</v>
      </c>
    </row>
    <row r="31" spans="1:17" x14ac:dyDescent="0.2">
      <c r="A31" s="108" t="s">
        <v>5</v>
      </c>
      <c r="B31" s="116"/>
      <c r="C31" s="107">
        <f t="shared" si="5"/>
        <v>0</v>
      </c>
      <c r="D31" s="115"/>
      <c r="E31" s="113">
        <f t="shared" si="6"/>
        <v>0</v>
      </c>
      <c r="F31" s="107">
        <v>0</v>
      </c>
      <c r="G31" s="107">
        <f t="shared" si="7"/>
        <v>0</v>
      </c>
      <c r="H31" s="107"/>
      <c r="I31" s="107"/>
      <c r="J31" s="450"/>
      <c r="K31" s="450"/>
      <c r="L31" s="450"/>
      <c r="M31" s="450"/>
      <c r="N31" s="426"/>
      <c r="O31" s="426"/>
      <c r="P31" s="426"/>
      <c r="Q31" s="426"/>
    </row>
    <row r="32" spans="1:17" x14ac:dyDescent="0.2">
      <c r="A32" s="108" t="s">
        <v>6</v>
      </c>
      <c r="B32" s="116"/>
      <c r="C32" s="107">
        <f t="shared" si="5"/>
        <v>0</v>
      </c>
      <c r="D32" s="115"/>
      <c r="E32" s="113">
        <f t="shared" si="6"/>
        <v>0</v>
      </c>
      <c r="F32" s="107">
        <v>0</v>
      </c>
      <c r="G32" s="107">
        <f t="shared" si="7"/>
        <v>0</v>
      </c>
      <c r="H32" s="107"/>
      <c r="I32" s="107"/>
      <c r="J32" s="450"/>
      <c r="K32" s="450"/>
      <c r="L32" s="450"/>
      <c r="M32" s="450"/>
      <c r="N32" s="426"/>
      <c r="O32" s="426"/>
      <c r="P32" s="426"/>
      <c r="Q32" s="426"/>
    </row>
    <row r="33" spans="1:17" x14ac:dyDescent="0.2">
      <c r="A33" s="108" t="s">
        <v>7</v>
      </c>
      <c r="B33" s="116"/>
      <c r="C33" s="107">
        <f t="shared" si="5"/>
        <v>0</v>
      </c>
      <c r="D33" s="115"/>
      <c r="E33" s="113">
        <f t="shared" si="6"/>
        <v>0</v>
      </c>
      <c r="F33" s="107">
        <v>0</v>
      </c>
      <c r="G33" s="107">
        <f t="shared" si="7"/>
        <v>0</v>
      </c>
      <c r="H33" s="107"/>
      <c r="I33" s="107"/>
      <c r="J33" s="450"/>
      <c r="K33" s="450"/>
      <c r="L33" s="450"/>
      <c r="M33" s="450"/>
      <c r="N33" s="426"/>
      <c r="O33" s="426"/>
      <c r="P33" s="426"/>
      <c r="Q33" s="426"/>
    </row>
    <row r="34" spans="1:17" x14ac:dyDescent="0.2">
      <c r="A34" s="108" t="s">
        <v>8</v>
      </c>
      <c r="B34" s="116"/>
      <c r="C34" s="107">
        <f t="shared" si="5"/>
        <v>0</v>
      </c>
      <c r="D34" s="115"/>
      <c r="E34" s="113">
        <f t="shared" si="6"/>
        <v>0</v>
      </c>
      <c r="F34" s="107">
        <v>0</v>
      </c>
      <c r="G34" s="107">
        <f t="shared" si="7"/>
        <v>0</v>
      </c>
      <c r="H34" s="107"/>
      <c r="I34" s="107"/>
      <c r="J34" s="450"/>
      <c r="K34" s="450"/>
      <c r="L34" s="450"/>
      <c r="M34" s="450"/>
      <c r="N34" s="426"/>
      <c r="O34" s="426"/>
      <c r="P34" s="426"/>
      <c r="Q34" s="426"/>
    </row>
    <row r="35" spans="1:17" x14ac:dyDescent="0.2">
      <c r="A35" s="108" t="s">
        <v>9</v>
      </c>
      <c r="B35" s="116"/>
      <c r="C35" s="107">
        <f t="shared" si="5"/>
        <v>0</v>
      </c>
      <c r="D35" s="115"/>
      <c r="E35" s="113">
        <f t="shared" si="6"/>
        <v>0</v>
      </c>
      <c r="F35" s="107">
        <v>0</v>
      </c>
      <c r="G35" s="107">
        <f t="shared" si="7"/>
        <v>0</v>
      </c>
      <c r="H35" s="107"/>
      <c r="I35" s="107"/>
      <c r="J35" s="450"/>
      <c r="K35" s="450"/>
      <c r="L35" s="450"/>
      <c r="M35" s="450"/>
      <c r="N35" s="426"/>
      <c r="O35" s="426"/>
      <c r="P35" s="426"/>
      <c r="Q35" s="426"/>
    </row>
    <row r="36" spans="1:17" x14ac:dyDescent="0.2">
      <c r="A36" s="108" t="s">
        <v>10</v>
      </c>
      <c r="B36" s="116"/>
      <c r="C36" s="107">
        <f t="shared" si="5"/>
        <v>0</v>
      </c>
      <c r="D36" s="115"/>
      <c r="E36" s="113">
        <f t="shared" si="6"/>
        <v>0</v>
      </c>
      <c r="F36" s="107">
        <v>0</v>
      </c>
      <c r="G36" s="107">
        <f t="shared" si="7"/>
        <v>0</v>
      </c>
      <c r="H36" s="107"/>
      <c r="I36" s="107"/>
      <c r="J36" s="450"/>
      <c r="K36" s="450"/>
      <c r="L36" s="450"/>
      <c r="M36" s="450"/>
      <c r="N36" s="426"/>
      <c r="O36" s="426"/>
      <c r="P36" s="426"/>
      <c r="Q36" s="426"/>
    </row>
    <row r="37" spans="1:17" x14ac:dyDescent="0.2">
      <c r="A37" s="108" t="s">
        <v>11</v>
      </c>
      <c r="B37" s="116"/>
      <c r="C37" s="107">
        <f t="shared" si="5"/>
        <v>0</v>
      </c>
      <c r="D37" s="115"/>
      <c r="E37" s="113">
        <f t="shared" si="6"/>
        <v>0</v>
      </c>
      <c r="F37" s="107">
        <v>0</v>
      </c>
      <c r="G37" s="107">
        <f t="shared" si="7"/>
        <v>0</v>
      </c>
      <c r="H37" s="107"/>
      <c r="I37" s="107"/>
      <c r="J37" s="451"/>
      <c r="K37" s="451"/>
      <c r="L37" s="451"/>
      <c r="M37" s="451"/>
      <c r="N37" s="427"/>
      <c r="O37" s="427"/>
      <c r="P37" s="427"/>
      <c r="Q37" s="427"/>
    </row>
    <row r="38" spans="1:17" x14ac:dyDescent="0.2">
      <c r="A38" s="104" t="s">
        <v>20</v>
      </c>
      <c r="B38" s="112">
        <f t="shared" ref="B38:G38" si="9">SUM(B26:B37)</f>
        <v>0</v>
      </c>
      <c r="C38" s="103">
        <f t="shared" si="9"/>
        <v>0</v>
      </c>
      <c r="D38" s="112">
        <f t="shared" si="9"/>
        <v>0</v>
      </c>
      <c r="E38" s="103">
        <f t="shared" si="9"/>
        <v>0</v>
      </c>
      <c r="F38" s="103">
        <f t="shared" si="9"/>
        <v>0</v>
      </c>
      <c r="G38" s="103">
        <f t="shared" si="9"/>
        <v>0</v>
      </c>
      <c r="H38" s="103"/>
      <c r="I38" s="103"/>
      <c r="J38" s="103">
        <f>SUM(J26:J37)</f>
        <v>9946</v>
      </c>
      <c r="K38" s="103">
        <f t="shared" ref="K38:M38" si="10">SUM(K26:K37)</f>
        <v>4783</v>
      </c>
      <c r="L38" s="103">
        <f t="shared" si="10"/>
        <v>14729</v>
      </c>
      <c r="M38" s="103">
        <f t="shared" si="10"/>
        <v>54543.42</v>
      </c>
      <c r="N38" s="103">
        <f>SUM(N26:N36)</f>
        <v>101</v>
      </c>
      <c r="O38" s="103">
        <f>SUM(O26:O36)</f>
        <v>3685.5</v>
      </c>
      <c r="P38" s="103">
        <f>SUM(P26:P36)</f>
        <v>91</v>
      </c>
      <c r="Q38" s="103">
        <f>SUM(Q26:Q36)</f>
        <v>3183.1800000000003</v>
      </c>
    </row>
    <row r="39" spans="1:17" x14ac:dyDescent="0.2">
      <c r="J39" s="142" t="s">
        <v>67</v>
      </c>
      <c r="N39" s="27" t="s">
        <v>67</v>
      </c>
      <c r="O39" s="32"/>
      <c r="P39" s="27" t="s">
        <v>67</v>
      </c>
      <c r="Q39" s="32"/>
    </row>
    <row r="40" spans="1:17" x14ac:dyDescent="0.2">
      <c r="J40" s="142" t="s">
        <v>75</v>
      </c>
      <c r="N40" s="140" t="s">
        <v>68</v>
      </c>
      <c r="O40" s="1"/>
      <c r="P40" s="140" t="s">
        <v>68</v>
      </c>
      <c r="Q40" s="1"/>
    </row>
    <row r="41" spans="1:17" x14ac:dyDescent="0.2">
      <c r="J41" s="142" t="s">
        <v>76</v>
      </c>
      <c r="N41" s="139" t="s">
        <v>69</v>
      </c>
      <c r="P41" s="139" t="s">
        <v>69</v>
      </c>
    </row>
    <row r="44" spans="1:17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17" x14ac:dyDescent="0.2">
      <c r="A45" s="371"/>
      <c r="B45" s="110"/>
      <c r="C45" s="110"/>
      <c r="D45" s="110"/>
      <c r="E45" s="110"/>
      <c r="F45" s="110"/>
      <c r="G45" s="110"/>
      <c r="H45" s="109"/>
      <c r="I45" s="109"/>
      <c r="J45" s="152"/>
      <c r="K45" s="152"/>
      <c r="L45" s="152"/>
      <c r="M45" s="152"/>
      <c r="N45" s="153"/>
      <c r="O45" s="153"/>
    </row>
    <row r="46" spans="1:17" x14ac:dyDescent="0.2">
      <c r="A46" s="108"/>
      <c r="B46" s="107"/>
      <c r="C46" s="107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17" x14ac:dyDescent="0.2">
      <c r="A47" s="108"/>
      <c r="B47" s="107"/>
      <c r="C47" s="107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17" x14ac:dyDescent="0.2">
      <c r="A48" s="108"/>
      <c r="B48" s="107"/>
      <c r="C48" s="107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08"/>
      <c r="B49" s="107"/>
      <c r="C49" s="107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08"/>
      <c r="B50" s="107"/>
      <c r="C50" s="107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08"/>
      <c r="B51" s="107"/>
      <c r="C51" s="107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08"/>
      <c r="B52" s="107"/>
      <c r="C52" s="107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08"/>
      <c r="B53" s="107"/>
      <c r="C53" s="107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08"/>
      <c r="B54" s="107"/>
      <c r="C54" s="107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08"/>
      <c r="B55" s="107"/>
      <c r="C55" s="107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08"/>
      <c r="B56" s="107"/>
      <c r="C56" s="107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08"/>
      <c r="B57" s="107"/>
      <c r="C57" s="107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65">
    <mergeCell ref="N2:O2"/>
    <mergeCell ref="B3:C3"/>
    <mergeCell ref="D3:E3"/>
    <mergeCell ref="F3:G3"/>
    <mergeCell ref="H3:I3"/>
    <mergeCell ref="F24:G24"/>
    <mergeCell ref="H24:I24"/>
    <mergeCell ref="A2:A4"/>
    <mergeCell ref="B2:C2"/>
    <mergeCell ref="D2:E2"/>
    <mergeCell ref="F2:G2"/>
    <mergeCell ref="H2:I2"/>
    <mergeCell ref="J24:M24"/>
    <mergeCell ref="N24:O24"/>
    <mergeCell ref="N44:O44"/>
    <mergeCell ref="A44:A45"/>
    <mergeCell ref="B44:C44"/>
    <mergeCell ref="D44:E44"/>
    <mergeCell ref="F44:G44"/>
    <mergeCell ref="H44:I44"/>
    <mergeCell ref="J44:M44"/>
    <mergeCell ref="A23:A25"/>
    <mergeCell ref="B23:C23"/>
    <mergeCell ref="D23:E23"/>
    <mergeCell ref="F23:G23"/>
    <mergeCell ref="H23:I23"/>
    <mergeCell ref="B24:C24"/>
    <mergeCell ref="D24:E24"/>
    <mergeCell ref="P24:Q24"/>
    <mergeCell ref="P2:Q2"/>
    <mergeCell ref="P3:Q3"/>
    <mergeCell ref="J5:J7"/>
    <mergeCell ref="K5:K7"/>
    <mergeCell ref="L5:L7"/>
    <mergeCell ref="M5:M7"/>
    <mergeCell ref="N5:N16"/>
    <mergeCell ref="O5:O16"/>
    <mergeCell ref="P5:P16"/>
    <mergeCell ref="Q5:Q16"/>
    <mergeCell ref="J23:M23"/>
    <mergeCell ref="J3:M3"/>
    <mergeCell ref="N3:O3"/>
    <mergeCell ref="J2:M2"/>
    <mergeCell ref="N23:O23"/>
    <mergeCell ref="J8:J16"/>
    <mergeCell ref="K8:K16"/>
    <mergeCell ref="L8:L16"/>
    <mergeCell ref="M8:M16"/>
    <mergeCell ref="P23:Q23"/>
    <mergeCell ref="P26:P29"/>
    <mergeCell ref="Q26:Q29"/>
    <mergeCell ref="J29:J37"/>
    <mergeCell ref="K29:K37"/>
    <mergeCell ref="L29:L37"/>
    <mergeCell ref="M29:M37"/>
    <mergeCell ref="N30:N37"/>
    <mergeCell ref="O30:O37"/>
    <mergeCell ref="P30:P37"/>
    <mergeCell ref="Q30:Q37"/>
    <mergeCell ref="J26:J28"/>
    <mergeCell ref="K26:K28"/>
    <mergeCell ref="L26:L28"/>
    <mergeCell ref="M26:M28"/>
    <mergeCell ref="N26:N29"/>
    <mergeCell ref="O26:O29"/>
  </mergeCells>
  <pageMargins left="0.7" right="0.7" top="0.78740157499999996" bottom="0.78740157499999996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C6959-9B16-4258-B07E-7B3B67A5F0D6}">
  <sheetPr>
    <tabColor theme="0"/>
  </sheetPr>
  <dimension ref="A1:O58"/>
  <sheetViews>
    <sheetView topLeftCell="A28" workbookViewId="0">
      <selection activeCell="A44" sqref="A44:O58"/>
    </sheetView>
  </sheetViews>
  <sheetFormatPr defaultRowHeight="12.75" x14ac:dyDescent="0.2"/>
  <cols>
    <col min="1" max="1" width="12.7109375" style="161" customWidth="1"/>
    <col min="2" max="15" width="11.7109375" style="161" customWidth="1"/>
    <col min="16" max="16384" width="9.140625" style="161"/>
  </cols>
  <sheetData>
    <row r="1" spans="1:15" ht="15" x14ac:dyDescent="0.2">
      <c r="A1" s="165" t="s">
        <v>177</v>
      </c>
      <c r="B1" s="163"/>
      <c r="C1" s="163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73" t="s">
        <v>33</v>
      </c>
    </row>
    <row r="2" spans="1:15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54"/>
      <c r="I2" s="350"/>
      <c r="J2" s="414" t="s">
        <v>153</v>
      </c>
      <c r="K2" s="417"/>
      <c r="L2" s="417"/>
      <c r="M2" s="418"/>
      <c r="N2" s="362" t="s">
        <v>152</v>
      </c>
      <c r="O2" s="362"/>
    </row>
    <row r="3" spans="1:15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29</v>
      </c>
      <c r="I3" s="350"/>
      <c r="J3" s="355" t="s">
        <v>14</v>
      </c>
      <c r="K3" s="356"/>
      <c r="L3" s="356"/>
      <c r="M3" s="357"/>
      <c r="N3" s="361" t="s">
        <v>62</v>
      </c>
      <c r="O3" s="361"/>
    </row>
    <row r="4" spans="1:15" ht="14.25" customHeight="1" x14ac:dyDescent="0.2">
      <c r="A4" s="368"/>
      <c r="B4" s="159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5" t="s">
        <v>18</v>
      </c>
      <c r="I4" s="155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</row>
    <row r="5" spans="1:15" x14ac:dyDescent="0.2">
      <c r="A5" s="149" t="s">
        <v>0</v>
      </c>
      <c r="B5" s="158"/>
      <c r="C5" s="148"/>
      <c r="D5" s="169"/>
      <c r="E5" s="154"/>
      <c r="F5" s="148"/>
      <c r="G5" s="148"/>
      <c r="H5" s="148"/>
      <c r="I5" s="148"/>
      <c r="J5" s="267">
        <v>6130</v>
      </c>
      <c r="K5" s="267">
        <v>11197</v>
      </c>
      <c r="L5" s="267">
        <f t="shared" ref="L5:L16" si="0">J5+K5</f>
        <v>17327</v>
      </c>
      <c r="M5" s="267">
        <v>14328</v>
      </c>
      <c r="N5" s="495">
        <v>141</v>
      </c>
      <c r="O5" s="495">
        <v>5104.2</v>
      </c>
    </row>
    <row r="6" spans="1:15" x14ac:dyDescent="0.2">
      <c r="A6" s="149" t="s">
        <v>1</v>
      </c>
      <c r="B6" s="158"/>
      <c r="C6" s="148"/>
      <c r="D6" s="170"/>
      <c r="E6" s="154"/>
      <c r="F6" s="148"/>
      <c r="G6" s="148"/>
      <c r="H6" s="148"/>
      <c r="I6" s="148"/>
      <c r="J6" s="267">
        <v>5402</v>
      </c>
      <c r="K6" s="267">
        <v>9840</v>
      </c>
      <c r="L6" s="267">
        <f t="shared" si="0"/>
        <v>15242</v>
      </c>
      <c r="M6" s="267">
        <v>15382.99</v>
      </c>
      <c r="N6" s="496"/>
      <c r="O6" s="496"/>
    </row>
    <row r="7" spans="1:15" x14ac:dyDescent="0.2">
      <c r="A7" s="149" t="s">
        <v>2</v>
      </c>
      <c r="B7" s="158"/>
      <c r="C7" s="148"/>
      <c r="D7" s="170"/>
      <c r="E7" s="154"/>
      <c r="F7" s="148"/>
      <c r="G7" s="148"/>
      <c r="H7" s="148"/>
      <c r="I7" s="148"/>
      <c r="J7" s="267">
        <v>5610</v>
      </c>
      <c r="K7" s="267">
        <v>11389</v>
      </c>
      <c r="L7" s="267">
        <f t="shared" si="0"/>
        <v>16999</v>
      </c>
      <c r="M7" s="267">
        <v>14272.98</v>
      </c>
      <c r="N7" s="496"/>
      <c r="O7" s="496"/>
    </row>
    <row r="8" spans="1:15" x14ac:dyDescent="0.2">
      <c r="A8" s="149" t="s">
        <v>3</v>
      </c>
      <c r="B8" s="158"/>
      <c r="C8" s="148"/>
      <c r="D8" s="170"/>
      <c r="E8" s="154"/>
      <c r="F8" s="148"/>
      <c r="G8" s="148"/>
      <c r="H8" s="148"/>
      <c r="I8" s="148"/>
      <c r="J8" s="267">
        <v>5670</v>
      </c>
      <c r="K8" s="267">
        <v>10350</v>
      </c>
      <c r="L8" s="267">
        <f t="shared" si="0"/>
        <v>16020</v>
      </c>
      <c r="M8" s="267">
        <v>14102.56</v>
      </c>
      <c r="N8" s="496"/>
      <c r="O8" s="496"/>
    </row>
    <row r="9" spans="1:15" x14ac:dyDescent="0.2">
      <c r="A9" s="149" t="s">
        <v>4</v>
      </c>
      <c r="B9" s="158"/>
      <c r="C9" s="148"/>
      <c r="D9" s="170"/>
      <c r="E9" s="154"/>
      <c r="F9" s="148"/>
      <c r="G9" s="148"/>
      <c r="H9" s="148"/>
      <c r="I9" s="148"/>
      <c r="J9" s="267">
        <v>5759</v>
      </c>
      <c r="K9" s="267">
        <v>10678</v>
      </c>
      <c r="L9" s="267">
        <f t="shared" si="0"/>
        <v>16437</v>
      </c>
      <c r="M9" s="267">
        <v>14169.61</v>
      </c>
      <c r="N9" s="496"/>
      <c r="O9" s="496"/>
    </row>
    <row r="10" spans="1:15" x14ac:dyDescent="0.2">
      <c r="A10" s="149" t="s">
        <v>5</v>
      </c>
      <c r="B10" s="158"/>
      <c r="C10" s="148"/>
      <c r="D10" s="170"/>
      <c r="E10" s="154"/>
      <c r="F10" s="148"/>
      <c r="G10" s="148"/>
      <c r="H10" s="148"/>
      <c r="I10" s="148"/>
      <c r="J10" s="267">
        <v>4933</v>
      </c>
      <c r="K10" s="267">
        <v>10263</v>
      </c>
      <c r="L10" s="267">
        <f t="shared" si="0"/>
        <v>15196</v>
      </c>
      <c r="M10" s="267">
        <v>13950.33</v>
      </c>
      <c r="N10" s="496"/>
      <c r="O10" s="496"/>
    </row>
    <row r="11" spans="1:15" x14ac:dyDescent="0.2">
      <c r="A11" s="149" t="s">
        <v>6</v>
      </c>
      <c r="B11" s="158"/>
      <c r="C11" s="148"/>
      <c r="D11" s="170"/>
      <c r="E11" s="154"/>
      <c r="F11" s="148"/>
      <c r="G11" s="148"/>
      <c r="H11" s="148"/>
      <c r="I11" s="148"/>
      <c r="J11" s="267">
        <v>5687</v>
      </c>
      <c r="K11" s="267">
        <v>10014</v>
      </c>
      <c r="L11" s="267">
        <f t="shared" si="0"/>
        <v>15701</v>
      </c>
      <c r="M11" s="267">
        <v>14044</v>
      </c>
      <c r="N11" s="496"/>
      <c r="O11" s="496"/>
    </row>
    <row r="12" spans="1:15" x14ac:dyDescent="0.2">
      <c r="A12" s="149" t="s">
        <v>7</v>
      </c>
      <c r="B12" s="158"/>
      <c r="C12" s="148"/>
      <c r="D12" s="170"/>
      <c r="E12" s="154"/>
      <c r="F12" s="148"/>
      <c r="G12" s="148"/>
      <c r="H12" s="148"/>
      <c r="I12" s="148"/>
      <c r="J12" s="267">
        <v>5462</v>
      </c>
      <c r="K12" s="267">
        <v>10081</v>
      </c>
      <c r="L12" s="267">
        <f t="shared" si="0"/>
        <v>15543</v>
      </c>
      <c r="M12" s="267">
        <v>14014</v>
      </c>
      <c r="N12" s="496"/>
      <c r="O12" s="496"/>
    </row>
    <row r="13" spans="1:15" x14ac:dyDescent="0.2">
      <c r="A13" s="149" t="s">
        <v>8</v>
      </c>
      <c r="B13" s="158"/>
      <c r="C13" s="148"/>
      <c r="D13" s="170"/>
      <c r="E13" s="154"/>
      <c r="F13" s="148"/>
      <c r="G13" s="148"/>
      <c r="H13" s="148"/>
      <c r="I13" s="148"/>
      <c r="J13" s="267">
        <v>5625</v>
      </c>
      <c r="K13" s="267">
        <v>10052</v>
      </c>
      <c r="L13" s="267">
        <f t="shared" si="0"/>
        <v>15677</v>
      </c>
      <c r="M13" s="267">
        <v>14022.87</v>
      </c>
      <c r="N13" s="496"/>
      <c r="O13" s="496"/>
    </row>
    <row r="14" spans="1:15" x14ac:dyDescent="0.2">
      <c r="A14" s="149" t="s">
        <v>9</v>
      </c>
      <c r="B14" s="158"/>
      <c r="C14" s="148"/>
      <c r="D14" s="170"/>
      <c r="E14" s="154"/>
      <c r="F14" s="148"/>
      <c r="G14" s="148"/>
      <c r="H14" s="148"/>
      <c r="I14" s="148"/>
      <c r="J14" s="267">
        <v>5811</v>
      </c>
      <c r="K14" s="267">
        <v>10460</v>
      </c>
      <c r="L14" s="267">
        <f t="shared" si="0"/>
        <v>16271</v>
      </c>
      <c r="M14" s="267">
        <v>14127.26</v>
      </c>
      <c r="N14" s="496"/>
      <c r="O14" s="496"/>
    </row>
    <row r="15" spans="1:15" x14ac:dyDescent="0.2">
      <c r="A15" s="149" t="s">
        <v>10</v>
      </c>
      <c r="B15" s="158"/>
      <c r="C15" s="148"/>
      <c r="D15" s="170"/>
      <c r="E15" s="154"/>
      <c r="F15" s="148"/>
      <c r="G15" s="148"/>
      <c r="H15" s="148"/>
      <c r="I15" s="148"/>
      <c r="J15" s="267">
        <v>5415</v>
      </c>
      <c r="K15" s="267">
        <v>10050</v>
      </c>
      <c r="L15" s="267">
        <f t="shared" si="0"/>
        <v>15465</v>
      </c>
      <c r="M15" s="267">
        <v>13995.87</v>
      </c>
      <c r="N15" s="496"/>
      <c r="O15" s="496"/>
    </row>
    <row r="16" spans="1:15" x14ac:dyDescent="0.2">
      <c r="A16" s="149" t="s">
        <v>11</v>
      </c>
      <c r="B16" s="158"/>
      <c r="C16" s="148"/>
      <c r="D16" s="170"/>
      <c r="E16" s="154"/>
      <c r="F16" s="148"/>
      <c r="G16" s="148"/>
      <c r="H16" s="148"/>
      <c r="I16" s="148"/>
      <c r="J16" s="267">
        <v>5040</v>
      </c>
      <c r="K16" s="267">
        <v>11009</v>
      </c>
      <c r="L16" s="267">
        <f t="shared" si="0"/>
        <v>16049</v>
      </c>
      <c r="M16" s="267">
        <v>15531.43</v>
      </c>
      <c r="N16" s="497"/>
      <c r="O16" s="497"/>
    </row>
    <row r="17" spans="1:15" x14ac:dyDescent="0.2">
      <c r="A17" s="104" t="s">
        <v>20</v>
      </c>
      <c r="B17" s="112">
        <f t="shared" ref="B17:G17" si="1">SUM(B5:B16)</f>
        <v>0</v>
      </c>
      <c r="C17" s="103">
        <f t="shared" si="1"/>
        <v>0</v>
      </c>
      <c r="D17" s="112">
        <f t="shared" si="1"/>
        <v>0</v>
      </c>
      <c r="E17" s="103">
        <f t="shared" si="1"/>
        <v>0</v>
      </c>
      <c r="F17" s="103">
        <f t="shared" si="1"/>
        <v>0</v>
      </c>
      <c r="G17" s="103">
        <f t="shared" si="1"/>
        <v>0</v>
      </c>
      <c r="H17" s="103"/>
      <c r="I17" s="103"/>
      <c r="J17" s="258">
        <f>SUM(J5:J16)</f>
        <v>66544</v>
      </c>
      <c r="K17" s="258">
        <f>SUM(K5:K16)</f>
        <v>125383</v>
      </c>
      <c r="L17" s="258">
        <f>SUM(L5:L16)</f>
        <v>191927</v>
      </c>
      <c r="M17" s="258">
        <f>SUM(M5:M16)</f>
        <v>171941.9</v>
      </c>
      <c r="N17" s="266">
        <f>SUM(N5)</f>
        <v>141</v>
      </c>
      <c r="O17" s="266">
        <f>SUM(O5:O15)</f>
        <v>5104.2</v>
      </c>
    </row>
    <row r="18" spans="1:15" x14ac:dyDescent="0.2">
      <c r="A18" s="162"/>
      <c r="B18" s="162"/>
      <c r="C18" s="162"/>
      <c r="D18" s="162"/>
      <c r="E18" s="166"/>
      <c r="F18" s="171"/>
      <c r="G18" s="172"/>
      <c r="H18" s="171"/>
      <c r="I18" s="172"/>
      <c r="J18" s="167"/>
      <c r="K18" s="167"/>
      <c r="L18" s="167"/>
      <c r="M18" s="168"/>
      <c r="N18" s="120" t="s">
        <v>64</v>
      </c>
      <c r="O18" s="168"/>
    </row>
    <row r="19" spans="1:15" x14ac:dyDescent="0.2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 t="s">
        <v>65</v>
      </c>
      <c r="O19" s="162"/>
    </row>
    <row r="23" spans="1:15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414" t="s">
        <v>153</v>
      </c>
      <c r="K23" s="417"/>
      <c r="L23" s="417"/>
      <c r="M23" s="418"/>
      <c r="N23" s="362" t="s">
        <v>152</v>
      </c>
      <c r="O23" s="362"/>
    </row>
    <row r="24" spans="1:15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62</v>
      </c>
      <c r="O24" s="361"/>
    </row>
    <row r="25" spans="1:15" ht="14.25" x14ac:dyDescent="0.2">
      <c r="A25" s="368"/>
      <c r="B25" s="159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5" t="s">
        <v>18</v>
      </c>
      <c r="I25" s="155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17</v>
      </c>
    </row>
    <row r="26" spans="1:15" x14ac:dyDescent="0.2">
      <c r="A26" s="149" t="s">
        <v>0</v>
      </c>
      <c r="B26" s="158"/>
      <c r="C26" s="148"/>
      <c r="D26" s="169"/>
      <c r="E26" s="154"/>
      <c r="F26" s="148"/>
      <c r="G26" s="148"/>
      <c r="H26" s="148"/>
      <c r="I26" s="148"/>
      <c r="J26" s="111">
        <v>6374</v>
      </c>
      <c r="K26" s="111">
        <v>11580</v>
      </c>
      <c r="L26" s="111">
        <f t="shared" ref="L26:L37" si="2">J26+K26</f>
        <v>17954</v>
      </c>
      <c r="M26" s="111">
        <v>26025.84</v>
      </c>
      <c r="N26" s="425">
        <v>41</v>
      </c>
      <c r="O26" s="425">
        <v>1661</v>
      </c>
    </row>
    <row r="27" spans="1:15" x14ac:dyDescent="0.2">
      <c r="A27" s="149" t="s">
        <v>1</v>
      </c>
      <c r="B27" s="158"/>
      <c r="C27" s="148"/>
      <c r="D27" s="170"/>
      <c r="E27" s="154"/>
      <c r="F27" s="148"/>
      <c r="G27" s="148"/>
      <c r="H27" s="148"/>
      <c r="I27" s="148"/>
      <c r="J27" s="111">
        <v>5566</v>
      </c>
      <c r="K27" s="111">
        <v>10341</v>
      </c>
      <c r="L27" s="111">
        <f t="shared" si="2"/>
        <v>15907</v>
      </c>
      <c r="M27" s="111">
        <v>23018</v>
      </c>
      <c r="N27" s="426"/>
      <c r="O27" s="426"/>
    </row>
    <row r="28" spans="1:15" x14ac:dyDescent="0.2">
      <c r="A28" s="149" t="s">
        <v>2</v>
      </c>
      <c r="B28" s="158"/>
      <c r="C28" s="148"/>
      <c r="D28" s="170"/>
      <c r="E28" s="154"/>
      <c r="F28" s="148"/>
      <c r="G28" s="148"/>
      <c r="H28" s="148"/>
      <c r="I28" s="148"/>
      <c r="J28" s="111">
        <v>6553</v>
      </c>
      <c r="K28" s="111">
        <v>12048</v>
      </c>
      <c r="L28" s="111">
        <f t="shared" si="2"/>
        <v>18601</v>
      </c>
      <c r="M28" s="111">
        <v>26938.46</v>
      </c>
      <c r="N28" s="426"/>
      <c r="O28" s="426"/>
    </row>
    <row r="29" spans="1:15" x14ac:dyDescent="0.2">
      <c r="A29" s="149" t="s">
        <v>3</v>
      </c>
      <c r="B29" s="158"/>
      <c r="C29" s="148"/>
      <c r="D29" s="170"/>
      <c r="E29" s="154"/>
      <c r="F29" s="148"/>
      <c r="G29" s="148"/>
      <c r="H29" s="148"/>
      <c r="I29" s="148"/>
      <c r="J29" s="111">
        <v>5792</v>
      </c>
      <c r="K29" s="111">
        <v>11944</v>
      </c>
      <c r="L29" s="111">
        <f t="shared" si="2"/>
        <v>17736</v>
      </c>
      <c r="M29" s="111">
        <v>25458</v>
      </c>
      <c r="N29" s="427"/>
      <c r="O29" s="427"/>
    </row>
    <row r="30" spans="1:15" x14ac:dyDescent="0.2">
      <c r="A30" s="149" t="s">
        <v>4</v>
      </c>
      <c r="B30" s="158"/>
      <c r="C30" s="148"/>
      <c r="D30" s="170"/>
      <c r="E30" s="154"/>
      <c r="F30" s="148"/>
      <c r="G30" s="148"/>
      <c r="H30" s="148"/>
      <c r="I30" s="148"/>
      <c r="J30" s="111">
        <v>5686</v>
      </c>
      <c r="K30" s="111">
        <v>12950</v>
      </c>
      <c r="L30" s="111">
        <f t="shared" si="2"/>
        <v>18636</v>
      </c>
      <c r="M30" s="111">
        <v>26551</v>
      </c>
      <c r="N30" s="425">
        <v>88</v>
      </c>
      <c r="O30" s="425">
        <v>3564</v>
      </c>
    </row>
    <row r="31" spans="1:15" x14ac:dyDescent="0.2">
      <c r="A31" s="149" t="s">
        <v>5</v>
      </c>
      <c r="B31" s="158"/>
      <c r="C31" s="148"/>
      <c r="D31" s="170"/>
      <c r="E31" s="154"/>
      <c r="F31" s="148"/>
      <c r="G31" s="148"/>
      <c r="H31" s="148"/>
      <c r="I31" s="148"/>
      <c r="J31" s="111">
        <v>6565</v>
      </c>
      <c r="K31" s="111">
        <v>11267</v>
      </c>
      <c r="L31" s="111">
        <f t="shared" si="2"/>
        <v>17832</v>
      </c>
      <c r="M31" s="111">
        <v>25965.69</v>
      </c>
      <c r="N31" s="426"/>
      <c r="O31" s="426"/>
    </row>
    <row r="32" spans="1:15" x14ac:dyDescent="0.2">
      <c r="A32" s="149" t="s">
        <v>6</v>
      </c>
      <c r="B32" s="158"/>
      <c r="C32" s="148"/>
      <c r="D32" s="170"/>
      <c r="E32" s="154"/>
      <c r="F32" s="148"/>
      <c r="G32" s="148"/>
      <c r="H32" s="148"/>
      <c r="I32" s="148"/>
      <c r="J32" s="111">
        <v>6465</v>
      </c>
      <c r="K32" s="111">
        <v>11598</v>
      </c>
      <c r="L32" s="111">
        <f t="shared" si="2"/>
        <v>18063</v>
      </c>
      <c r="M32" s="111">
        <v>26209.89</v>
      </c>
      <c r="N32" s="426"/>
      <c r="O32" s="426"/>
    </row>
    <row r="33" spans="1:15" x14ac:dyDescent="0.2">
      <c r="A33" s="149" t="s">
        <v>7</v>
      </c>
      <c r="B33" s="158"/>
      <c r="C33" s="148"/>
      <c r="D33" s="170"/>
      <c r="E33" s="154"/>
      <c r="F33" s="148"/>
      <c r="G33" s="148"/>
      <c r="H33" s="148"/>
      <c r="I33" s="148"/>
      <c r="J33" s="111">
        <v>6398</v>
      </c>
      <c r="K33" s="111">
        <v>11876</v>
      </c>
      <c r="L33" s="111">
        <f t="shared" si="2"/>
        <v>18274</v>
      </c>
      <c r="M33" s="111">
        <v>26443</v>
      </c>
      <c r="N33" s="426"/>
      <c r="O33" s="426"/>
    </row>
    <row r="34" spans="1:15" x14ac:dyDescent="0.2">
      <c r="A34" s="149" t="s">
        <v>8</v>
      </c>
      <c r="B34" s="158"/>
      <c r="C34" s="148"/>
      <c r="D34" s="170"/>
      <c r="E34" s="154"/>
      <c r="F34" s="148"/>
      <c r="G34" s="148"/>
      <c r="H34" s="148"/>
      <c r="I34" s="148"/>
      <c r="J34" s="111">
        <v>6025</v>
      </c>
      <c r="K34" s="111">
        <v>10928</v>
      </c>
      <c r="L34" s="111">
        <f t="shared" si="2"/>
        <v>16953</v>
      </c>
      <c r="M34" s="111">
        <v>24577.97</v>
      </c>
      <c r="N34" s="426"/>
      <c r="O34" s="426"/>
    </row>
    <row r="35" spans="1:15" x14ac:dyDescent="0.2">
      <c r="A35" s="149" t="s">
        <v>9</v>
      </c>
      <c r="B35" s="158"/>
      <c r="C35" s="148"/>
      <c r="D35" s="170"/>
      <c r="E35" s="154"/>
      <c r="F35" s="148"/>
      <c r="G35" s="148"/>
      <c r="H35" s="148"/>
      <c r="I35" s="148"/>
      <c r="J35" s="111">
        <v>5962</v>
      </c>
      <c r="K35" s="111">
        <v>11500</v>
      </c>
      <c r="L35" s="111">
        <f t="shared" si="2"/>
        <v>17462</v>
      </c>
      <c r="M35" s="111">
        <v>25194.42</v>
      </c>
      <c r="N35" s="426"/>
      <c r="O35" s="426"/>
    </row>
    <row r="36" spans="1:15" x14ac:dyDescent="0.2">
      <c r="A36" s="149" t="s">
        <v>10</v>
      </c>
      <c r="B36" s="158"/>
      <c r="C36" s="148"/>
      <c r="D36" s="170"/>
      <c r="E36" s="154"/>
      <c r="F36" s="148"/>
      <c r="G36" s="148"/>
      <c r="H36" s="148"/>
      <c r="I36" s="148"/>
      <c r="J36" s="111">
        <v>5987</v>
      </c>
      <c r="K36" s="111">
        <v>11132</v>
      </c>
      <c r="L36" s="111">
        <f t="shared" si="2"/>
        <v>17119</v>
      </c>
      <c r="M36" s="111">
        <v>24770.33</v>
      </c>
      <c r="N36" s="426"/>
      <c r="O36" s="426"/>
    </row>
    <row r="37" spans="1:15" x14ac:dyDescent="0.2">
      <c r="A37" s="149" t="s">
        <v>11</v>
      </c>
      <c r="B37" s="158"/>
      <c r="C37" s="148"/>
      <c r="D37" s="170"/>
      <c r="E37" s="154"/>
      <c r="F37" s="148"/>
      <c r="G37" s="148"/>
      <c r="H37" s="148"/>
      <c r="I37" s="148"/>
      <c r="J37" s="111">
        <v>6523</v>
      </c>
      <c r="K37" s="111">
        <v>12485</v>
      </c>
      <c r="L37" s="111">
        <f t="shared" si="2"/>
        <v>19008</v>
      </c>
      <c r="M37" s="111">
        <v>27441.53</v>
      </c>
      <c r="N37" s="427"/>
      <c r="O37" s="427"/>
    </row>
    <row r="38" spans="1:15" x14ac:dyDescent="0.2">
      <c r="A38" s="104" t="s">
        <v>20</v>
      </c>
      <c r="B38" s="112">
        <f t="shared" ref="B38:G38" si="3">SUM(B26:B37)</f>
        <v>0</v>
      </c>
      <c r="C38" s="103">
        <f t="shared" si="3"/>
        <v>0</v>
      </c>
      <c r="D38" s="112">
        <f t="shared" si="3"/>
        <v>0</v>
      </c>
      <c r="E38" s="103">
        <f t="shared" si="3"/>
        <v>0</v>
      </c>
      <c r="F38" s="103">
        <f t="shared" si="3"/>
        <v>0</v>
      </c>
      <c r="G38" s="103">
        <f t="shared" si="3"/>
        <v>0</v>
      </c>
      <c r="H38" s="103"/>
      <c r="I38" s="103"/>
      <c r="J38" s="103">
        <f>SUM(J26:J37)</f>
        <v>73896</v>
      </c>
      <c r="K38" s="103">
        <f>SUM(K26:K37)</f>
        <v>139649</v>
      </c>
      <c r="L38" s="103">
        <f>SUM(L26:L37)</f>
        <v>213545</v>
      </c>
      <c r="M38" s="103">
        <f>SUM(M26:M37)</f>
        <v>308594.13</v>
      </c>
      <c r="N38" s="103">
        <f>SUM(N26:N36)</f>
        <v>129</v>
      </c>
      <c r="O38" s="103">
        <f>SUM(O26:O36)</f>
        <v>5225</v>
      </c>
    </row>
    <row r="39" spans="1:15" x14ac:dyDescent="0.2">
      <c r="N39" s="120" t="s">
        <v>67</v>
      </c>
      <c r="O39" s="168"/>
    </row>
    <row r="40" spans="1:15" x14ac:dyDescent="0.2">
      <c r="N40" s="137" t="s">
        <v>68</v>
      </c>
      <c r="O40" s="162"/>
    </row>
    <row r="41" spans="1:15" x14ac:dyDescent="0.2">
      <c r="N41" s="138" t="s">
        <v>69</v>
      </c>
    </row>
    <row r="44" spans="1:15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15" x14ac:dyDescent="0.2">
      <c r="A45" s="371"/>
      <c r="B45" s="151"/>
      <c r="C45" s="151"/>
      <c r="D45" s="151"/>
      <c r="E45" s="151"/>
      <c r="F45" s="151"/>
      <c r="G45" s="151"/>
      <c r="H45" s="155"/>
      <c r="I45" s="155"/>
      <c r="J45" s="152"/>
      <c r="K45" s="152"/>
      <c r="L45" s="152"/>
      <c r="M45" s="152"/>
      <c r="N45" s="153"/>
      <c r="O45" s="153"/>
    </row>
    <row r="46" spans="1:15" x14ac:dyDescent="0.2">
      <c r="A46" s="149"/>
      <c r="B46" s="148"/>
      <c r="C46" s="148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15" x14ac:dyDescent="0.2">
      <c r="A47" s="149"/>
      <c r="B47" s="148"/>
      <c r="C47" s="148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15" x14ac:dyDescent="0.2">
      <c r="A48" s="149"/>
      <c r="B48" s="148"/>
      <c r="C48" s="148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49"/>
      <c r="B49" s="148"/>
      <c r="C49" s="148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49"/>
      <c r="B50" s="148"/>
      <c r="C50" s="148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49"/>
      <c r="B51" s="148"/>
      <c r="C51" s="148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49"/>
      <c r="B52" s="148"/>
      <c r="C52" s="148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49"/>
      <c r="B53" s="148"/>
      <c r="C53" s="148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49"/>
      <c r="B54" s="148"/>
      <c r="C54" s="148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49"/>
      <c r="B55" s="148"/>
      <c r="C55" s="148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49"/>
      <c r="B56" s="148"/>
      <c r="C56" s="148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49"/>
      <c r="B57" s="148"/>
      <c r="C57" s="148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39">
    <mergeCell ref="N26:N29"/>
    <mergeCell ref="O26:O29"/>
    <mergeCell ref="N30:N37"/>
    <mergeCell ref="O30:O37"/>
    <mergeCell ref="N23:O23"/>
    <mergeCell ref="N24:O24"/>
    <mergeCell ref="N44:O44"/>
    <mergeCell ref="A44:A45"/>
    <mergeCell ref="B44:C44"/>
    <mergeCell ref="D44:E44"/>
    <mergeCell ref="F44:G44"/>
    <mergeCell ref="H44:I44"/>
    <mergeCell ref="J44:M4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J24:M24"/>
    <mergeCell ref="N2:O2"/>
    <mergeCell ref="B3:C3"/>
    <mergeCell ref="D3:E3"/>
    <mergeCell ref="F3:G3"/>
    <mergeCell ref="H3:I3"/>
    <mergeCell ref="J3:M3"/>
    <mergeCell ref="N3:O3"/>
    <mergeCell ref="J2:M2"/>
    <mergeCell ref="J23:M23"/>
    <mergeCell ref="N5:N16"/>
    <mergeCell ref="O5:O16"/>
    <mergeCell ref="A2:A4"/>
    <mergeCell ref="B2:C2"/>
    <mergeCell ref="D2:E2"/>
    <mergeCell ref="F2:G2"/>
    <mergeCell ref="H2:I2"/>
  </mergeCells>
  <pageMargins left="0.7" right="0.7" top="0.78740157499999996" bottom="0.78740157499999996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0"/>
  </sheetPr>
  <dimension ref="A1:AO58"/>
  <sheetViews>
    <sheetView tabSelected="1" topLeftCell="S1" workbookViewId="0">
      <selection activeCell="AK8" sqref="AK8:AK16"/>
    </sheetView>
  </sheetViews>
  <sheetFormatPr defaultRowHeight="12.75" x14ac:dyDescent="0.2"/>
  <cols>
    <col min="1" max="1" width="12.7109375" customWidth="1"/>
    <col min="2" max="15" width="11.7109375" customWidth="1"/>
    <col min="17" max="17" width="10.42578125" bestFit="1" customWidth="1"/>
  </cols>
  <sheetData>
    <row r="1" spans="1:41" ht="15.75" thickBot="1" x14ac:dyDescent="0.25">
      <c r="A1" s="21" t="s">
        <v>178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57" t="s">
        <v>33</v>
      </c>
    </row>
    <row r="2" spans="1:41" ht="15" customHeight="1" x14ac:dyDescent="0.2">
      <c r="A2" s="550">
        <v>2019</v>
      </c>
      <c r="B2" s="545" t="s">
        <v>243</v>
      </c>
      <c r="C2" s="546"/>
      <c r="D2" s="546"/>
      <c r="E2" s="547"/>
      <c r="F2" s="545" t="s">
        <v>244</v>
      </c>
      <c r="G2" s="546"/>
      <c r="H2" s="546"/>
      <c r="I2" s="547"/>
      <c r="J2" s="545" t="s">
        <v>245</v>
      </c>
      <c r="K2" s="546"/>
      <c r="L2" s="546"/>
      <c r="M2" s="547"/>
      <c r="N2" s="545" t="s">
        <v>246</v>
      </c>
      <c r="O2" s="546"/>
      <c r="P2" s="546"/>
      <c r="Q2" s="547"/>
      <c r="R2" s="545" t="s">
        <v>247</v>
      </c>
      <c r="S2" s="546"/>
      <c r="T2" s="546"/>
      <c r="U2" s="547"/>
      <c r="V2" s="545" t="s">
        <v>248</v>
      </c>
      <c r="W2" s="546"/>
      <c r="X2" s="546"/>
      <c r="Y2" s="547"/>
      <c r="Z2" s="545" t="s">
        <v>249</v>
      </c>
      <c r="AA2" s="546"/>
      <c r="AB2" s="546"/>
      <c r="AC2" s="547"/>
      <c r="AD2" s="545" t="s">
        <v>250</v>
      </c>
      <c r="AE2" s="546"/>
      <c r="AF2" s="546"/>
      <c r="AG2" s="547"/>
      <c r="AH2" s="539" t="s">
        <v>251</v>
      </c>
      <c r="AI2" s="540"/>
      <c r="AJ2" s="540"/>
      <c r="AK2" s="541"/>
      <c r="AL2" s="545" t="s">
        <v>252</v>
      </c>
      <c r="AM2" s="546"/>
      <c r="AN2" s="546"/>
      <c r="AO2" s="547"/>
    </row>
    <row r="3" spans="1:41" ht="12.75" customHeight="1" x14ac:dyDescent="0.2">
      <c r="A3" s="551"/>
      <c r="B3" s="548" t="s">
        <v>14</v>
      </c>
      <c r="C3" s="305"/>
      <c r="D3" s="305"/>
      <c r="E3" s="549"/>
      <c r="F3" s="548" t="s">
        <v>14</v>
      </c>
      <c r="G3" s="305"/>
      <c r="H3" s="305"/>
      <c r="I3" s="549"/>
      <c r="J3" s="548" t="s">
        <v>14</v>
      </c>
      <c r="K3" s="305"/>
      <c r="L3" s="305"/>
      <c r="M3" s="549"/>
      <c r="N3" s="548" t="s">
        <v>14</v>
      </c>
      <c r="O3" s="305"/>
      <c r="P3" s="305"/>
      <c r="Q3" s="549"/>
      <c r="R3" s="548" t="s">
        <v>14</v>
      </c>
      <c r="S3" s="305"/>
      <c r="T3" s="305"/>
      <c r="U3" s="549"/>
      <c r="V3" s="548" t="s">
        <v>14</v>
      </c>
      <c r="W3" s="305"/>
      <c r="X3" s="305"/>
      <c r="Y3" s="549"/>
      <c r="Z3" s="548" t="s">
        <v>14</v>
      </c>
      <c r="AA3" s="305"/>
      <c r="AB3" s="305"/>
      <c r="AC3" s="549"/>
      <c r="AD3" s="548" t="s">
        <v>14</v>
      </c>
      <c r="AE3" s="305"/>
      <c r="AF3" s="305"/>
      <c r="AG3" s="549"/>
      <c r="AH3" s="542" t="s">
        <v>14</v>
      </c>
      <c r="AI3" s="543"/>
      <c r="AJ3" s="543"/>
      <c r="AK3" s="544"/>
      <c r="AL3" s="548" t="s">
        <v>14</v>
      </c>
      <c r="AM3" s="305"/>
      <c r="AN3" s="305"/>
      <c r="AO3" s="549"/>
    </row>
    <row r="4" spans="1:41" ht="14.25" customHeight="1" x14ac:dyDescent="0.2">
      <c r="A4" s="552"/>
      <c r="B4" s="281" t="s">
        <v>35</v>
      </c>
      <c r="C4" s="8" t="s">
        <v>36</v>
      </c>
      <c r="D4" s="8" t="s">
        <v>37</v>
      </c>
      <c r="E4" s="282" t="s">
        <v>17</v>
      </c>
      <c r="F4" s="281" t="s">
        <v>35</v>
      </c>
      <c r="G4" s="8" t="s">
        <v>36</v>
      </c>
      <c r="H4" s="8" t="s">
        <v>37</v>
      </c>
      <c r="I4" s="282" t="s">
        <v>17</v>
      </c>
      <c r="J4" s="281" t="s">
        <v>35</v>
      </c>
      <c r="K4" s="8" t="s">
        <v>36</v>
      </c>
      <c r="L4" s="8" t="s">
        <v>37</v>
      </c>
      <c r="M4" s="282" t="s">
        <v>17</v>
      </c>
      <c r="N4" s="281" t="s">
        <v>35</v>
      </c>
      <c r="O4" s="8" t="s">
        <v>36</v>
      </c>
      <c r="P4" s="8" t="s">
        <v>37</v>
      </c>
      <c r="Q4" s="282" t="s">
        <v>17</v>
      </c>
      <c r="R4" s="281" t="s">
        <v>35</v>
      </c>
      <c r="S4" s="8" t="s">
        <v>36</v>
      </c>
      <c r="T4" s="8" t="s">
        <v>37</v>
      </c>
      <c r="U4" s="282" t="s">
        <v>17</v>
      </c>
      <c r="V4" s="281" t="s">
        <v>35</v>
      </c>
      <c r="W4" s="8" t="s">
        <v>36</v>
      </c>
      <c r="X4" s="8" t="s">
        <v>37</v>
      </c>
      <c r="Y4" s="282" t="s">
        <v>17</v>
      </c>
      <c r="Z4" s="281" t="s">
        <v>35</v>
      </c>
      <c r="AA4" s="8" t="s">
        <v>36</v>
      </c>
      <c r="AB4" s="8" t="s">
        <v>37</v>
      </c>
      <c r="AC4" s="282" t="s">
        <v>17</v>
      </c>
      <c r="AD4" s="281" t="s">
        <v>35</v>
      </c>
      <c r="AE4" s="8" t="s">
        <v>36</v>
      </c>
      <c r="AF4" s="8" t="s">
        <v>37</v>
      </c>
      <c r="AG4" s="282" t="s">
        <v>17</v>
      </c>
      <c r="AH4" s="286" t="s">
        <v>35</v>
      </c>
      <c r="AI4" s="287" t="s">
        <v>36</v>
      </c>
      <c r="AJ4" s="287" t="s">
        <v>37</v>
      </c>
      <c r="AK4" s="288" t="s">
        <v>17</v>
      </c>
      <c r="AL4" s="281" t="s">
        <v>35</v>
      </c>
      <c r="AM4" s="8" t="s">
        <v>36</v>
      </c>
      <c r="AN4" s="8" t="s">
        <v>37</v>
      </c>
      <c r="AO4" s="282" t="s">
        <v>17</v>
      </c>
    </row>
    <row r="5" spans="1:41" x14ac:dyDescent="0.2">
      <c r="A5" s="279" t="s">
        <v>0</v>
      </c>
      <c r="B5" s="533"/>
      <c r="C5" s="289"/>
      <c r="D5" s="536"/>
      <c r="E5" s="524"/>
      <c r="F5" s="527">
        <v>10720</v>
      </c>
      <c r="G5" s="26"/>
      <c r="H5" s="449">
        <f>F5+G5</f>
        <v>10720</v>
      </c>
      <c r="I5" s="530">
        <f>H5*0.711+H5*0.35381+F5*0.495+F5*0.07619+2.806*593+2.806*6.93+F5*0.0283</f>
        <v>19524.69958</v>
      </c>
      <c r="J5" s="527">
        <v>10493</v>
      </c>
      <c r="K5" s="26"/>
      <c r="L5" s="449">
        <f>J5+K5</f>
        <v>10493</v>
      </c>
      <c r="M5" s="530">
        <f>L5*0.711+L5*0.35381+3.133*1017+J5*0.07619+3.133*236+3.133*6.93+J5*0.0283</f>
        <v>16216.82559</v>
      </c>
      <c r="N5" s="527">
        <v>6637</v>
      </c>
      <c r="O5" s="26"/>
      <c r="P5" s="449">
        <f>N5+O5</f>
        <v>6637</v>
      </c>
      <c r="Q5" s="530">
        <f>P5*0.711+P5*0.35381+N5*0.495+N5*0.07619+2.71*236+2.71*6.93+N5*0.0283</f>
        <v>11704.2994</v>
      </c>
      <c r="R5" s="527">
        <v>5132.8999999999996</v>
      </c>
      <c r="S5" s="26"/>
      <c r="T5" s="449">
        <f>R5+S5</f>
        <v>5132.8999999999996</v>
      </c>
      <c r="U5" s="530">
        <f>T5*0.711+T5*0.35381+R5*0.495+R5*0.07619+2.935*301+2.935*6.93+R5*0.0283</f>
        <v>9446.4600199999986</v>
      </c>
      <c r="V5" s="527">
        <v>9751</v>
      </c>
      <c r="W5" s="26"/>
      <c r="X5" s="449">
        <f>V5+W5</f>
        <v>9751</v>
      </c>
      <c r="Y5" s="530">
        <f>X5*0.711+X5*0.35381+V5*0.495+V5*0.07619+2.903*377+2.903*6.93+V5*0.0283</f>
        <v>17343.13809</v>
      </c>
      <c r="Z5" s="527">
        <v>10728</v>
      </c>
      <c r="AA5" s="26"/>
      <c r="AB5" s="449">
        <f>Z5+AA5</f>
        <v>10728</v>
      </c>
      <c r="AC5" s="530">
        <f>AB5*0.711+AB5*0.35381+Z5*0.495+Z5*0.07619+2.871*471+2.871*6.93+Z5*0.0283</f>
        <v>19226.747430000003</v>
      </c>
      <c r="AD5" s="527">
        <v>13275</v>
      </c>
      <c r="AE5" s="26"/>
      <c r="AF5" s="449">
        <f>AD5+AE5</f>
        <v>13275</v>
      </c>
      <c r="AG5" s="530">
        <f>AF5*0.711+AF5*0.35381+3.267*1301.76+AD5*0.07619+3.267*301+3.267*6.93+AD5*0.0283</f>
        <v>20781.314729999995</v>
      </c>
      <c r="AH5" s="533"/>
      <c r="AI5" s="289"/>
      <c r="AJ5" s="536"/>
      <c r="AK5" s="524"/>
      <c r="AL5" s="527">
        <v>6639</v>
      </c>
      <c r="AM5" s="26"/>
      <c r="AN5" s="449">
        <f>AL5+AM5</f>
        <v>6639</v>
      </c>
      <c r="AO5" s="530">
        <f>AN5*0.711+AN5*0.35381+AL5*0.495+AL5*0.07619+2.871*593+2.871*6.93+AL5*0.0283</f>
        <v>12771.686729999999</v>
      </c>
    </row>
    <row r="6" spans="1:41" x14ac:dyDescent="0.2">
      <c r="A6" s="279" t="s">
        <v>1</v>
      </c>
      <c r="B6" s="534"/>
      <c r="C6" s="289"/>
      <c r="D6" s="537"/>
      <c r="E6" s="525"/>
      <c r="F6" s="528"/>
      <c r="G6" s="26"/>
      <c r="H6" s="450"/>
      <c r="I6" s="531"/>
      <c r="J6" s="528"/>
      <c r="K6" s="26"/>
      <c r="L6" s="450"/>
      <c r="M6" s="531"/>
      <c r="N6" s="528"/>
      <c r="O6" s="26"/>
      <c r="P6" s="450"/>
      <c r="Q6" s="531"/>
      <c r="R6" s="528"/>
      <c r="S6" s="26"/>
      <c r="T6" s="450"/>
      <c r="U6" s="531"/>
      <c r="V6" s="528"/>
      <c r="W6" s="26"/>
      <c r="X6" s="450"/>
      <c r="Y6" s="531"/>
      <c r="Z6" s="528"/>
      <c r="AA6" s="26"/>
      <c r="AB6" s="450"/>
      <c r="AC6" s="531"/>
      <c r="AD6" s="528"/>
      <c r="AE6" s="26"/>
      <c r="AF6" s="450"/>
      <c r="AG6" s="531"/>
      <c r="AH6" s="534"/>
      <c r="AI6" s="289"/>
      <c r="AJ6" s="537"/>
      <c r="AK6" s="525"/>
      <c r="AL6" s="528"/>
      <c r="AM6" s="26"/>
      <c r="AN6" s="450"/>
      <c r="AO6" s="531"/>
    </row>
    <row r="7" spans="1:41" x14ac:dyDescent="0.2">
      <c r="A7" s="279" t="s">
        <v>2</v>
      </c>
      <c r="B7" s="535"/>
      <c r="C7" s="289"/>
      <c r="D7" s="538"/>
      <c r="E7" s="526"/>
      <c r="F7" s="529"/>
      <c r="G7" s="26"/>
      <c r="H7" s="451"/>
      <c r="I7" s="532"/>
      <c r="J7" s="529"/>
      <c r="K7" s="26"/>
      <c r="L7" s="451"/>
      <c r="M7" s="532"/>
      <c r="N7" s="529"/>
      <c r="O7" s="26"/>
      <c r="P7" s="451"/>
      <c r="Q7" s="532"/>
      <c r="R7" s="529"/>
      <c r="S7" s="26"/>
      <c r="T7" s="451"/>
      <c r="U7" s="532"/>
      <c r="V7" s="529"/>
      <c r="W7" s="26"/>
      <c r="X7" s="451"/>
      <c r="Y7" s="532"/>
      <c r="Z7" s="529"/>
      <c r="AA7" s="26"/>
      <c r="AB7" s="451"/>
      <c r="AC7" s="532"/>
      <c r="AD7" s="529"/>
      <c r="AE7" s="26"/>
      <c r="AF7" s="451"/>
      <c r="AG7" s="532"/>
      <c r="AH7" s="535"/>
      <c r="AI7" s="289"/>
      <c r="AJ7" s="538"/>
      <c r="AK7" s="526"/>
      <c r="AL7" s="529"/>
      <c r="AM7" s="26"/>
      <c r="AN7" s="451"/>
      <c r="AO7" s="532"/>
    </row>
    <row r="8" spans="1:41" x14ac:dyDescent="0.2">
      <c r="A8" s="279" t="s">
        <v>3</v>
      </c>
      <c r="B8" s="527">
        <v>24006</v>
      </c>
      <c r="C8" s="26"/>
      <c r="D8" s="449">
        <f t="shared" ref="D8" si="0">B8+C8</f>
        <v>24006</v>
      </c>
      <c r="E8" s="530">
        <f>D8*0.711+D8*0.35381+9.097*1301.76+B8*0.07619+9.097*301+9.097*6.93+B8*0.0283</f>
        <v>42713.565730000002</v>
      </c>
      <c r="F8" s="527">
        <v>27375</v>
      </c>
      <c r="G8" s="26"/>
      <c r="H8" s="449">
        <f t="shared" ref="H8" si="1">F8+G8</f>
        <v>27375</v>
      </c>
      <c r="I8" s="530">
        <f>H8*0.711+H8*0.35381+F8*0.495+F8*0.07619+9.194*593+9.194*6.93+F8*0.0283</f>
        <v>51075.968919999999</v>
      </c>
      <c r="J8" s="527">
        <v>23133</v>
      </c>
      <c r="K8" s="26"/>
      <c r="L8" s="449">
        <f t="shared" ref="L8" si="2">J8+K8</f>
        <v>23133</v>
      </c>
      <c r="M8" s="530">
        <f>L8*0.711+L8*0.35381+8.867*1017+J8*0.07619+8.867*236+8.867*6.93+J8*0.0283</f>
        <v>38221.216209999999</v>
      </c>
      <c r="N8" s="527">
        <v>17479</v>
      </c>
      <c r="O8" s="26"/>
      <c r="P8" s="449">
        <f t="shared" ref="P8" si="3">N8+O8</f>
        <v>17479</v>
      </c>
      <c r="Q8" s="530">
        <f>P8*0.711+P8*0.35381+N8*0.495+N8*0.07619+9.29*236+9.29*6.93+N8*0.0283</f>
        <v>31347.119399999996</v>
      </c>
      <c r="R8" s="527">
        <v>12031</v>
      </c>
      <c r="S8" s="26"/>
      <c r="T8" s="449">
        <f t="shared" ref="T8" si="4">R8+S8</f>
        <v>12031</v>
      </c>
      <c r="U8" s="530">
        <f>T8*0.711+T8*0.35381+R8*0.495+R8*0.07619+9.065*301+9.065*6.93+R8*0.0283</f>
        <v>22814.578749999997</v>
      </c>
      <c r="V8" s="527">
        <v>24045</v>
      </c>
      <c r="W8" s="26"/>
      <c r="X8" s="449">
        <f t="shared" ref="X8" si="5">V8+W8</f>
        <v>24045</v>
      </c>
      <c r="Y8" s="530">
        <f>X8*0.711+X8*0.35381+V8*0.495+V8*0.07619+9.097*377+9.097*6.93+V8*0.0283</f>
        <v>43510.704710000005</v>
      </c>
      <c r="Z8" s="527">
        <v>28956</v>
      </c>
      <c r="AA8" s="26"/>
      <c r="AB8" s="449">
        <f t="shared" ref="AB8" si="6">Z8+AA8</f>
        <v>28956</v>
      </c>
      <c r="AC8" s="530">
        <f>AB8*0.711+AB8*0.35381+Z8*0.495+Z8*0.07619+9.129*471+9.129*6.93+Z8*0.0283</f>
        <v>52554.493769999994</v>
      </c>
      <c r="AD8" s="527">
        <v>21125</v>
      </c>
      <c r="AE8" s="26"/>
      <c r="AF8" s="449">
        <f t="shared" ref="AF8" si="7">AD8+AE8</f>
        <v>21125</v>
      </c>
      <c r="AG8" s="530">
        <f>AF8*0.711+AF8*0.35381+AD8*0.495+AD8*0.07619+8.733*301+8.733*6.93+AD8*0.0283</f>
        <v>37847.490190000004</v>
      </c>
      <c r="AH8" s="533"/>
      <c r="AI8" s="289"/>
      <c r="AJ8" s="536"/>
      <c r="AK8" s="524"/>
      <c r="AL8" s="527">
        <v>17448</v>
      </c>
      <c r="AM8" s="26"/>
      <c r="AN8" s="449">
        <f t="shared" ref="AN8" si="8">AL8+AM8</f>
        <v>17448</v>
      </c>
      <c r="AO8" s="530">
        <f>AN8*0.711+AN8*0.35381+AL8*0.495+AL8*0.07619+9.129*593+9.129*6.93+AL8*0.0283</f>
        <v>34515.467370000006</v>
      </c>
    </row>
    <row r="9" spans="1:41" x14ac:dyDescent="0.2">
      <c r="A9" s="279" t="s">
        <v>4</v>
      </c>
      <c r="B9" s="528"/>
      <c r="C9" s="26"/>
      <c r="D9" s="450"/>
      <c r="E9" s="531"/>
      <c r="F9" s="528"/>
      <c r="G9" s="26"/>
      <c r="H9" s="450"/>
      <c r="I9" s="531"/>
      <c r="J9" s="528"/>
      <c r="K9" s="26"/>
      <c r="L9" s="450"/>
      <c r="M9" s="531"/>
      <c r="N9" s="528"/>
      <c r="O9" s="26"/>
      <c r="P9" s="450"/>
      <c r="Q9" s="531"/>
      <c r="R9" s="528"/>
      <c r="S9" s="26"/>
      <c r="T9" s="450"/>
      <c r="U9" s="531"/>
      <c r="V9" s="528"/>
      <c r="W9" s="26"/>
      <c r="X9" s="450"/>
      <c r="Y9" s="531"/>
      <c r="Z9" s="528"/>
      <c r="AA9" s="26"/>
      <c r="AB9" s="450"/>
      <c r="AC9" s="531"/>
      <c r="AD9" s="528"/>
      <c r="AE9" s="26"/>
      <c r="AF9" s="450"/>
      <c r="AG9" s="531"/>
      <c r="AH9" s="534"/>
      <c r="AI9" s="289"/>
      <c r="AJ9" s="537"/>
      <c r="AK9" s="525"/>
      <c r="AL9" s="528"/>
      <c r="AM9" s="26"/>
      <c r="AN9" s="450"/>
      <c r="AO9" s="531"/>
    </row>
    <row r="10" spans="1:41" x14ac:dyDescent="0.2">
      <c r="A10" s="279" t="s">
        <v>5</v>
      </c>
      <c r="B10" s="528"/>
      <c r="C10" s="26"/>
      <c r="D10" s="450"/>
      <c r="E10" s="531"/>
      <c r="F10" s="528"/>
      <c r="G10" s="26"/>
      <c r="H10" s="450"/>
      <c r="I10" s="531"/>
      <c r="J10" s="528"/>
      <c r="K10" s="26"/>
      <c r="L10" s="450"/>
      <c r="M10" s="531"/>
      <c r="N10" s="528"/>
      <c r="O10" s="26"/>
      <c r="P10" s="450"/>
      <c r="Q10" s="531"/>
      <c r="R10" s="528"/>
      <c r="S10" s="26"/>
      <c r="T10" s="450"/>
      <c r="U10" s="531"/>
      <c r="V10" s="528"/>
      <c r="W10" s="26"/>
      <c r="X10" s="450"/>
      <c r="Y10" s="531"/>
      <c r="Z10" s="528"/>
      <c r="AA10" s="26"/>
      <c r="AB10" s="450"/>
      <c r="AC10" s="531"/>
      <c r="AD10" s="528"/>
      <c r="AE10" s="26"/>
      <c r="AF10" s="450"/>
      <c r="AG10" s="531"/>
      <c r="AH10" s="534"/>
      <c r="AI10" s="289"/>
      <c r="AJ10" s="537"/>
      <c r="AK10" s="525"/>
      <c r="AL10" s="528"/>
      <c r="AM10" s="26"/>
      <c r="AN10" s="450"/>
      <c r="AO10" s="531"/>
    </row>
    <row r="11" spans="1:41" x14ac:dyDescent="0.2">
      <c r="A11" s="279" t="s">
        <v>6</v>
      </c>
      <c r="B11" s="528"/>
      <c r="C11" s="26"/>
      <c r="D11" s="450"/>
      <c r="E11" s="531"/>
      <c r="F11" s="528"/>
      <c r="G11" s="26"/>
      <c r="H11" s="450"/>
      <c r="I11" s="531"/>
      <c r="J11" s="528"/>
      <c r="K11" s="26"/>
      <c r="L11" s="450"/>
      <c r="M11" s="531"/>
      <c r="N11" s="528"/>
      <c r="O11" s="26"/>
      <c r="P11" s="450"/>
      <c r="Q11" s="531"/>
      <c r="R11" s="528"/>
      <c r="S11" s="26"/>
      <c r="T11" s="450"/>
      <c r="U11" s="531"/>
      <c r="V11" s="528"/>
      <c r="W11" s="26"/>
      <c r="X11" s="450"/>
      <c r="Y11" s="531"/>
      <c r="Z11" s="528"/>
      <c r="AA11" s="26"/>
      <c r="AB11" s="450"/>
      <c r="AC11" s="531"/>
      <c r="AD11" s="528"/>
      <c r="AE11" s="26"/>
      <c r="AF11" s="450"/>
      <c r="AG11" s="531"/>
      <c r="AH11" s="534"/>
      <c r="AI11" s="289"/>
      <c r="AJ11" s="537"/>
      <c r="AK11" s="525"/>
      <c r="AL11" s="528"/>
      <c r="AM11" s="26"/>
      <c r="AN11" s="450"/>
      <c r="AO11" s="531"/>
    </row>
    <row r="12" spans="1:41" x14ac:dyDescent="0.2">
      <c r="A12" s="279" t="s">
        <v>7</v>
      </c>
      <c r="B12" s="528"/>
      <c r="C12" s="26"/>
      <c r="D12" s="450"/>
      <c r="E12" s="531"/>
      <c r="F12" s="528"/>
      <c r="G12" s="26"/>
      <c r="H12" s="450"/>
      <c r="I12" s="531"/>
      <c r="J12" s="528"/>
      <c r="K12" s="26"/>
      <c r="L12" s="450"/>
      <c r="M12" s="531"/>
      <c r="N12" s="528"/>
      <c r="O12" s="26"/>
      <c r="P12" s="450"/>
      <c r="Q12" s="531"/>
      <c r="R12" s="528"/>
      <c r="S12" s="26"/>
      <c r="T12" s="450"/>
      <c r="U12" s="531"/>
      <c r="V12" s="528"/>
      <c r="W12" s="26"/>
      <c r="X12" s="450"/>
      <c r="Y12" s="531"/>
      <c r="Z12" s="528"/>
      <c r="AA12" s="26"/>
      <c r="AB12" s="450"/>
      <c r="AC12" s="531"/>
      <c r="AD12" s="528"/>
      <c r="AE12" s="26"/>
      <c r="AF12" s="450"/>
      <c r="AG12" s="531"/>
      <c r="AH12" s="534"/>
      <c r="AI12" s="289"/>
      <c r="AJ12" s="537"/>
      <c r="AK12" s="525"/>
      <c r="AL12" s="528"/>
      <c r="AM12" s="26"/>
      <c r="AN12" s="450"/>
      <c r="AO12" s="531"/>
    </row>
    <row r="13" spans="1:41" x14ac:dyDescent="0.2">
      <c r="A13" s="279" t="s">
        <v>8</v>
      </c>
      <c r="B13" s="528"/>
      <c r="C13" s="26"/>
      <c r="D13" s="450"/>
      <c r="E13" s="531"/>
      <c r="F13" s="528"/>
      <c r="G13" s="26"/>
      <c r="H13" s="450"/>
      <c r="I13" s="531"/>
      <c r="J13" s="528"/>
      <c r="K13" s="26"/>
      <c r="L13" s="450"/>
      <c r="M13" s="531"/>
      <c r="N13" s="528"/>
      <c r="O13" s="26"/>
      <c r="P13" s="450"/>
      <c r="Q13" s="531"/>
      <c r="R13" s="528"/>
      <c r="S13" s="26"/>
      <c r="T13" s="450"/>
      <c r="U13" s="531"/>
      <c r="V13" s="528"/>
      <c r="W13" s="26"/>
      <c r="X13" s="450"/>
      <c r="Y13" s="531"/>
      <c r="Z13" s="528"/>
      <c r="AA13" s="26"/>
      <c r="AB13" s="450"/>
      <c r="AC13" s="531"/>
      <c r="AD13" s="528"/>
      <c r="AE13" s="26"/>
      <c r="AF13" s="450"/>
      <c r="AG13" s="531"/>
      <c r="AH13" s="534"/>
      <c r="AI13" s="289"/>
      <c r="AJ13" s="537"/>
      <c r="AK13" s="525"/>
      <c r="AL13" s="528"/>
      <c r="AM13" s="26"/>
      <c r="AN13" s="450"/>
      <c r="AO13" s="531"/>
    </row>
    <row r="14" spans="1:41" x14ac:dyDescent="0.2">
      <c r="A14" s="279" t="s">
        <v>9</v>
      </c>
      <c r="B14" s="528"/>
      <c r="C14" s="26"/>
      <c r="D14" s="450"/>
      <c r="E14" s="531"/>
      <c r="F14" s="528"/>
      <c r="G14" s="26"/>
      <c r="H14" s="450"/>
      <c r="I14" s="531"/>
      <c r="J14" s="528"/>
      <c r="K14" s="26"/>
      <c r="L14" s="450"/>
      <c r="M14" s="531"/>
      <c r="N14" s="528"/>
      <c r="O14" s="26"/>
      <c r="P14" s="450"/>
      <c r="Q14" s="531"/>
      <c r="R14" s="528"/>
      <c r="S14" s="26"/>
      <c r="T14" s="450"/>
      <c r="U14" s="531"/>
      <c r="V14" s="528"/>
      <c r="W14" s="26"/>
      <c r="X14" s="450"/>
      <c r="Y14" s="531"/>
      <c r="Z14" s="528"/>
      <c r="AA14" s="26"/>
      <c r="AB14" s="450"/>
      <c r="AC14" s="531"/>
      <c r="AD14" s="528"/>
      <c r="AE14" s="26"/>
      <c r="AF14" s="450"/>
      <c r="AG14" s="531"/>
      <c r="AH14" s="534"/>
      <c r="AI14" s="289"/>
      <c r="AJ14" s="537"/>
      <c r="AK14" s="525"/>
      <c r="AL14" s="528"/>
      <c r="AM14" s="26"/>
      <c r="AN14" s="450"/>
      <c r="AO14" s="531"/>
    </row>
    <row r="15" spans="1:41" x14ac:dyDescent="0.2">
      <c r="A15" s="279" t="s">
        <v>10</v>
      </c>
      <c r="B15" s="528"/>
      <c r="C15" s="26"/>
      <c r="D15" s="450"/>
      <c r="E15" s="531"/>
      <c r="F15" s="528"/>
      <c r="G15" s="26"/>
      <c r="H15" s="450"/>
      <c r="I15" s="531"/>
      <c r="J15" s="528"/>
      <c r="K15" s="26"/>
      <c r="L15" s="450"/>
      <c r="M15" s="531"/>
      <c r="N15" s="528"/>
      <c r="O15" s="26"/>
      <c r="P15" s="450"/>
      <c r="Q15" s="531"/>
      <c r="R15" s="528"/>
      <c r="S15" s="26"/>
      <c r="T15" s="450"/>
      <c r="U15" s="531"/>
      <c r="V15" s="528"/>
      <c r="W15" s="26"/>
      <c r="X15" s="450"/>
      <c r="Y15" s="531"/>
      <c r="Z15" s="528"/>
      <c r="AA15" s="26"/>
      <c r="AB15" s="450"/>
      <c r="AC15" s="531"/>
      <c r="AD15" s="528"/>
      <c r="AE15" s="26"/>
      <c r="AF15" s="450"/>
      <c r="AG15" s="531"/>
      <c r="AH15" s="534"/>
      <c r="AI15" s="289"/>
      <c r="AJ15" s="537"/>
      <c r="AK15" s="525"/>
      <c r="AL15" s="528"/>
      <c r="AM15" s="26"/>
      <c r="AN15" s="450"/>
      <c r="AO15" s="531"/>
    </row>
    <row r="16" spans="1:41" x14ac:dyDescent="0.2">
      <c r="A16" s="279" t="s">
        <v>11</v>
      </c>
      <c r="B16" s="529"/>
      <c r="C16" s="26"/>
      <c r="D16" s="451"/>
      <c r="E16" s="532"/>
      <c r="F16" s="529"/>
      <c r="G16" s="26"/>
      <c r="H16" s="451"/>
      <c r="I16" s="532"/>
      <c r="J16" s="529"/>
      <c r="K16" s="26"/>
      <c r="L16" s="451"/>
      <c r="M16" s="532"/>
      <c r="N16" s="529"/>
      <c r="O16" s="26"/>
      <c r="P16" s="451"/>
      <c r="Q16" s="532"/>
      <c r="R16" s="529"/>
      <c r="S16" s="26"/>
      <c r="T16" s="451"/>
      <c r="U16" s="532"/>
      <c r="V16" s="529"/>
      <c r="W16" s="26"/>
      <c r="X16" s="451"/>
      <c r="Y16" s="532"/>
      <c r="Z16" s="529"/>
      <c r="AA16" s="26"/>
      <c r="AB16" s="451"/>
      <c r="AC16" s="532"/>
      <c r="AD16" s="529"/>
      <c r="AE16" s="26"/>
      <c r="AF16" s="451"/>
      <c r="AG16" s="532"/>
      <c r="AH16" s="535"/>
      <c r="AI16" s="289"/>
      <c r="AJ16" s="538"/>
      <c r="AK16" s="526"/>
      <c r="AL16" s="529"/>
      <c r="AM16" s="26"/>
      <c r="AN16" s="451"/>
      <c r="AO16" s="532"/>
    </row>
    <row r="17" spans="1:41" ht="13.5" thickBot="1" x14ac:dyDescent="0.25">
      <c r="A17" s="280" t="s">
        <v>20</v>
      </c>
      <c r="B17" s="283">
        <f>SUM(B5:B16)</f>
        <v>24006</v>
      </c>
      <c r="C17" s="284"/>
      <c r="D17" s="284">
        <f>SUM(D5:D16)</f>
        <v>24006</v>
      </c>
      <c r="E17" s="285">
        <f>SUM(E5:E16)</f>
        <v>42713.565730000002</v>
      </c>
      <c r="F17" s="283">
        <f>SUM(F5:F16)</f>
        <v>38095</v>
      </c>
      <c r="G17" s="284"/>
      <c r="H17" s="284">
        <f>SUM(H5:H16)</f>
        <v>38095</v>
      </c>
      <c r="I17" s="285">
        <f t="shared" ref="I17:J17" si="9">SUM(I5:I16)</f>
        <v>70600.6685</v>
      </c>
      <c r="J17" s="283">
        <f t="shared" si="9"/>
        <v>33626</v>
      </c>
      <c r="K17" s="284"/>
      <c r="L17" s="284">
        <f t="shared" ref="L17:M17" si="10">SUM(L5:L16)</f>
        <v>33626</v>
      </c>
      <c r="M17" s="285">
        <f t="shared" si="10"/>
        <v>54438.041799999999</v>
      </c>
      <c r="N17" s="283">
        <f>SUM(N5:N16)</f>
        <v>24116</v>
      </c>
      <c r="O17" s="284"/>
      <c r="P17" s="284">
        <f t="shared" ref="P17:Q17" si="11">SUM(P5:P16)</f>
        <v>24116</v>
      </c>
      <c r="Q17" s="285">
        <f t="shared" si="11"/>
        <v>43051.418799999999</v>
      </c>
      <c r="R17" s="283">
        <f>SUM(R5:R16)</f>
        <v>17163.900000000001</v>
      </c>
      <c r="S17" s="284"/>
      <c r="T17" s="284">
        <f t="shared" ref="T17:U17" si="12">SUM(T5:T16)</f>
        <v>17163.900000000001</v>
      </c>
      <c r="U17" s="285">
        <f t="shared" si="12"/>
        <v>32261.038769999996</v>
      </c>
      <c r="V17" s="283">
        <f>SUM(V5:V16)</f>
        <v>33796</v>
      </c>
      <c r="W17" s="284"/>
      <c r="X17" s="284">
        <f t="shared" ref="X17:Y17" si="13">SUM(X5:X16)</f>
        <v>33796</v>
      </c>
      <c r="Y17" s="285">
        <f t="shared" si="13"/>
        <v>60853.842800000006</v>
      </c>
      <c r="Z17" s="283">
        <f>SUM(Z5:Z16)</f>
        <v>39684</v>
      </c>
      <c r="AA17" s="284"/>
      <c r="AB17" s="284">
        <f t="shared" ref="AB17:AC17" si="14">SUM(AB5:AB16)</f>
        <v>39684</v>
      </c>
      <c r="AC17" s="285">
        <f t="shared" si="14"/>
        <v>71781.241199999989</v>
      </c>
      <c r="AD17" s="283">
        <f>SUM(AD5:AD16)</f>
        <v>34400</v>
      </c>
      <c r="AE17" s="284"/>
      <c r="AF17" s="284">
        <f t="shared" ref="AF17:AG17" si="15">SUM(AF5:AF16)</f>
        <v>34400</v>
      </c>
      <c r="AG17" s="285">
        <f t="shared" si="15"/>
        <v>58628.804919999995</v>
      </c>
      <c r="AH17" s="290">
        <f>SUM(AH5:AH16)</f>
        <v>0</v>
      </c>
      <c r="AI17" s="291"/>
      <c r="AJ17" s="291">
        <f t="shared" ref="AJ17:AK17" si="16">SUM(AJ5:AJ16)</f>
        <v>0</v>
      </c>
      <c r="AK17" s="292">
        <f t="shared" si="16"/>
        <v>0</v>
      </c>
      <c r="AL17" s="283">
        <f>SUM(AL5:AL16)</f>
        <v>24087</v>
      </c>
      <c r="AM17" s="284"/>
      <c r="AN17" s="284">
        <f>SUM(AN5:AN16)</f>
        <v>24087</v>
      </c>
      <c r="AO17" s="285">
        <f>SUM(AO5:AO16)</f>
        <v>47287.154100000007</v>
      </c>
    </row>
    <row r="18" spans="1:41" x14ac:dyDescent="0.2">
      <c r="A18" s="1"/>
      <c r="B18" s="1"/>
      <c r="C18" s="1"/>
      <c r="D18" s="1"/>
      <c r="E18" s="28"/>
      <c r="F18" s="54"/>
      <c r="G18" s="55"/>
      <c r="H18" s="54"/>
      <c r="I18" s="55"/>
      <c r="J18" s="29"/>
      <c r="K18" s="29"/>
      <c r="L18" s="29"/>
      <c r="M18" s="32"/>
      <c r="N18" s="27"/>
      <c r="O18" s="32"/>
    </row>
    <row r="19" spans="1:4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3" spans="1:41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304"/>
      <c r="K23" s="305"/>
      <c r="L23" s="305"/>
      <c r="M23" s="306"/>
      <c r="N23" s="322"/>
      <c r="O23" s="322"/>
    </row>
    <row r="24" spans="1:41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304" t="s">
        <v>14</v>
      </c>
      <c r="K24" s="305"/>
      <c r="L24" s="305"/>
      <c r="M24" s="306"/>
      <c r="N24" s="322" t="s">
        <v>15</v>
      </c>
      <c r="O24" s="322"/>
    </row>
    <row r="25" spans="1:41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8" t="s">
        <v>35</v>
      </c>
      <c r="K25" s="8" t="s">
        <v>36</v>
      </c>
      <c r="L25" s="8" t="s">
        <v>37</v>
      </c>
      <c r="M25" s="8" t="s">
        <v>17</v>
      </c>
      <c r="N25" s="9" t="s">
        <v>23</v>
      </c>
      <c r="O25" s="9" t="s">
        <v>24</v>
      </c>
    </row>
    <row r="26" spans="1:41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2"/>
      <c r="I26" s="2"/>
      <c r="J26" s="26"/>
      <c r="K26" s="26"/>
      <c r="L26" s="26">
        <f>J26+K26</f>
        <v>0</v>
      </c>
      <c r="M26" s="26"/>
      <c r="N26" s="50"/>
      <c r="O26" s="16">
        <f>N26*58.26</f>
        <v>0</v>
      </c>
    </row>
    <row r="27" spans="1:41" x14ac:dyDescent="0.2">
      <c r="A27" s="3" t="s">
        <v>1</v>
      </c>
      <c r="B27" s="46">
        <f t="shared" ref="B27:B37" si="17">D27+F27</f>
        <v>0</v>
      </c>
      <c r="C27" s="2">
        <f t="shared" ref="C27:C37" si="18">E27+G27</f>
        <v>0</v>
      </c>
      <c r="D27" s="52"/>
      <c r="E27" s="16">
        <f t="shared" ref="E27:E37" si="19">D27*513.8</f>
        <v>0</v>
      </c>
      <c r="F27" s="2">
        <v>0</v>
      </c>
      <c r="G27" s="2">
        <f t="shared" ref="G27:G37" si="20">F27*336.1423</f>
        <v>0</v>
      </c>
      <c r="H27" s="2"/>
      <c r="I27" s="2"/>
      <c r="J27" s="26"/>
      <c r="K27" s="26"/>
      <c r="L27" s="26">
        <f t="shared" ref="L27:L38" si="21">J27+K27</f>
        <v>0</v>
      </c>
      <c r="M27" s="26"/>
      <c r="N27" s="50"/>
      <c r="O27" s="16">
        <f t="shared" ref="O27:O37" si="22">N27*58.26</f>
        <v>0</v>
      </c>
    </row>
    <row r="28" spans="1:41" x14ac:dyDescent="0.2">
      <c r="A28" s="3" t="s">
        <v>2</v>
      </c>
      <c r="B28" s="46">
        <f t="shared" si="17"/>
        <v>0</v>
      </c>
      <c r="C28" s="2">
        <f t="shared" si="18"/>
        <v>0</v>
      </c>
      <c r="D28" s="52"/>
      <c r="E28" s="16">
        <f t="shared" si="19"/>
        <v>0</v>
      </c>
      <c r="F28" s="2">
        <v>0</v>
      </c>
      <c r="G28" s="2">
        <f t="shared" si="20"/>
        <v>0</v>
      </c>
      <c r="H28" s="2"/>
      <c r="I28" s="2"/>
      <c r="J28" s="26"/>
      <c r="K28" s="26"/>
      <c r="L28" s="26">
        <f t="shared" si="21"/>
        <v>0</v>
      </c>
      <c r="M28" s="26"/>
      <c r="N28" s="50"/>
      <c r="O28" s="16">
        <f t="shared" si="22"/>
        <v>0</v>
      </c>
    </row>
    <row r="29" spans="1:41" x14ac:dyDescent="0.2">
      <c r="A29" s="3" t="s">
        <v>3</v>
      </c>
      <c r="B29" s="46">
        <f t="shared" si="17"/>
        <v>0</v>
      </c>
      <c r="C29" s="2">
        <f t="shared" si="18"/>
        <v>0</v>
      </c>
      <c r="D29" s="52"/>
      <c r="E29" s="16">
        <f t="shared" si="19"/>
        <v>0</v>
      </c>
      <c r="F29" s="2">
        <v>0</v>
      </c>
      <c r="G29" s="2">
        <f t="shared" si="20"/>
        <v>0</v>
      </c>
      <c r="H29" s="2"/>
      <c r="I29" s="2"/>
      <c r="J29" s="26"/>
      <c r="K29" s="26"/>
      <c r="L29" s="26">
        <f t="shared" si="21"/>
        <v>0</v>
      </c>
      <c r="M29" s="26"/>
      <c r="N29" s="50"/>
      <c r="O29" s="16">
        <f t="shared" si="22"/>
        <v>0</v>
      </c>
    </row>
    <row r="30" spans="1:41" x14ac:dyDescent="0.2">
      <c r="A30" s="3" t="s">
        <v>4</v>
      </c>
      <c r="B30" s="46">
        <f t="shared" si="17"/>
        <v>0</v>
      </c>
      <c r="C30" s="2">
        <f t="shared" si="18"/>
        <v>0</v>
      </c>
      <c r="D30" s="52"/>
      <c r="E30" s="16">
        <f t="shared" si="19"/>
        <v>0</v>
      </c>
      <c r="F30" s="2">
        <v>0</v>
      </c>
      <c r="G30" s="2">
        <f t="shared" si="20"/>
        <v>0</v>
      </c>
      <c r="H30" s="2"/>
      <c r="I30" s="2"/>
      <c r="J30" s="26"/>
      <c r="K30" s="26"/>
      <c r="L30" s="26">
        <f t="shared" si="21"/>
        <v>0</v>
      </c>
      <c r="M30" s="26"/>
      <c r="N30" s="50"/>
      <c r="O30" s="16">
        <f t="shared" si="22"/>
        <v>0</v>
      </c>
    </row>
    <row r="31" spans="1:41" x14ac:dyDescent="0.2">
      <c r="A31" s="3" t="s">
        <v>5</v>
      </c>
      <c r="B31" s="46">
        <f t="shared" si="17"/>
        <v>0</v>
      </c>
      <c r="C31" s="2">
        <f t="shared" si="18"/>
        <v>0</v>
      </c>
      <c r="D31" s="52"/>
      <c r="E31" s="16">
        <f t="shared" si="19"/>
        <v>0</v>
      </c>
      <c r="F31" s="2">
        <v>0</v>
      </c>
      <c r="G31" s="2">
        <f t="shared" si="20"/>
        <v>0</v>
      </c>
      <c r="H31" s="2"/>
      <c r="I31" s="2"/>
      <c r="J31" s="26"/>
      <c r="K31" s="26"/>
      <c r="L31" s="26">
        <f t="shared" si="21"/>
        <v>0</v>
      </c>
      <c r="M31" s="26"/>
      <c r="N31" s="50"/>
      <c r="O31" s="16">
        <f t="shared" si="22"/>
        <v>0</v>
      </c>
    </row>
    <row r="32" spans="1:41" x14ac:dyDescent="0.2">
      <c r="A32" s="3" t="s">
        <v>6</v>
      </c>
      <c r="B32" s="46">
        <f t="shared" si="17"/>
        <v>0</v>
      </c>
      <c r="C32" s="2">
        <f t="shared" si="18"/>
        <v>0</v>
      </c>
      <c r="D32" s="52"/>
      <c r="E32" s="16">
        <f t="shared" si="19"/>
        <v>0</v>
      </c>
      <c r="F32" s="2">
        <v>0</v>
      </c>
      <c r="G32" s="2">
        <f t="shared" si="20"/>
        <v>0</v>
      </c>
      <c r="H32" s="2"/>
      <c r="I32" s="2"/>
      <c r="J32" s="26"/>
      <c r="K32" s="26"/>
      <c r="L32" s="26">
        <f t="shared" si="21"/>
        <v>0</v>
      </c>
      <c r="M32" s="26"/>
      <c r="N32" s="50"/>
      <c r="O32" s="16">
        <f t="shared" si="22"/>
        <v>0</v>
      </c>
    </row>
    <row r="33" spans="1:15" x14ac:dyDescent="0.2">
      <c r="A33" s="3" t="s">
        <v>7</v>
      </c>
      <c r="B33" s="46">
        <f t="shared" si="17"/>
        <v>0</v>
      </c>
      <c r="C33" s="2">
        <f t="shared" si="18"/>
        <v>0</v>
      </c>
      <c r="D33" s="52"/>
      <c r="E33" s="16">
        <f t="shared" si="19"/>
        <v>0</v>
      </c>
      <c r="F33" s="2">
        <v>0</v>
      </c>
      <c r="G33" s="2">
        <f t="shared" si="20"/>
        <v>0</v>
      </c>
      <c r="H33" s="2"/>
      <c r="I33" s="2"/>
      <c r="J33" s="26"/>
      <c r="K33" s="26"/>
      <c r="L33" s="26">
        <f t="shared" si="21"/>
        <v>0</v>
      </c>
      <c r="M33" s="26"/>
      <c r="N33" s="50"/>
      <c r="O33" s="16">
        <f t="shared" si="22"/>
        <v>0</v>
      </c>
    </row>
    <row r="34" spans="1:15" x14ac:dyDescent="0.2">
      <c r="A34" s="3" t="s">
        <v>8</v>
      </c>
      <c r="B34" s="46">
        <f t="shared" si="17"/>
        <v>0</v>
      </c>
      <c r="C34" s="2">
        <f t="shared" si="18"/>
        <v>0</v>
      </c>
      <c r="D34" s="52"/>
      <c r="E34" s="16">
        <f t="shared" si="19"/>
        <v>0</v>
      </c>
      <c r="F34" s="2">
        <v>0</v>
      </c>
      <c r="G34" s="2">
        <f t="shared" si="20"/>
        <v>0</v>
      </c>
      <c r="H34" s="2"/>
      <c r="I34" s="2"/>
      <c r="J34" s="26"/>
      <c r="K34" s="26"/>
      <c r="L34" s="26">
        <f t="shared" si="21"/>
        <v>0</v>
      </c>
      <c r="M34" s="26"/>
      <c r="N34" s="50"/>
      <c r="O34" s="16">
        <f t="shared" si="22"/>
        <v>0</v>
      </c>
    </row>
    <row r="35" spans="1:15" x14ac:dyDescent="0.2">
      <c r="A35" s="3" t="s">
        <v>9</v>
      </c>
      <c r="B35" s="46">
        <f t="shared" si="17"/>
        <v>0</v>
      </c>
      <c r="C35" s="2">
        <f t="shared" si="18"/>
        <v>0</v>
      </c>
      <c r="D35" s="52"/>
      <c r="E35" s="16">
        <f t="shared" si="19"/>
        <v>0</v>
      </c>
      <c r="F35" s="2">
        <v>0</v>
      </c>
      <c r="G35" s="2">
        <f t="shared" si="20"/>
        <v>0</v>
      </c>
      <c r="H35" s="2"/>
      <c r="I35" s="2"/>
      <c r="J35" s="26"/>
      <c r="K35" s="26"/>
      <c r="L35" s="26">
        <f t="shared" si="21"/>
        <v>0</v>
      </c>
      <c r="M35" s="26"/>
      <c r="N35" s="50"/>
      <c r="O35" s="16">
        <f t="shared" si="22"/>
        <v>0</v>
      </c>
    </row>
    <row r="36" spans="1:15" x14ac:dyDescent="0.2">
      <c r="A36" s="3" t="s">
        <v>10</v>
      </c>
      <c r="B36" s="46">
        <f t="shared" si="17"/>
        <v>0</v>
      </c>
      <c r="C36" s="2">
        <f t="shared" si="18"/>
        <v>0</v>
      </c>
      <c r="D36" s="52"/>
      <c r="E36" s="16">
        <f t="shared" si="19"/>
        <v>0</v>
      </c>
      <c r="F36" s="2">
        <v>0</v>
      </c>
      <c r="G36" s="2">
        <f t="shared" si="20"/>
        <v>0</v>
      </c>
      <c r="H36" s="2"/>
      <c r="I36" s="2"/>
      <c r="J36" s="26"/>
      <c r="K36" s="26"/>
      <c r="L36" s="26">
        <f t="shared" si="21"/>
        <v>0</v>
      </c>
      <c r="M36" s="26"/>
      <c r="N36" s="50"/>
      <c r="O36" s="16">
        <f t="shared" si="22"/>
        <v>0</v>
      </c>
    </row>
    <row r="37" spans="1:15" x14ac:dyDescent="0.2">
      <c r="A37" s="3" t="s">
        <v>11</v>
      </c>
      <c r="B37" s="46">
        <f t="shared" si="17"/>
        <v>0</v>
      </c>
      <c r="C37" s="2">
        <f t="shared" si="18"/>
        <v>0</v>
      </c>
      <c r="D37" s="52"/>
      <c r="E37" s="16">
        <f t="shared" si="19"/>
        <v>0</v>
      </c>
      <c r="F37" s="2">
        <v>0</v>
      </c>
      <c r="G37" s="2">
        <f t="shared" si="20"/>
        <v>0</v>
      </c>
      <c r="H37" s="2"/>
      <c r="I37" s="2"/>
      <c r="J37" s="26"/>
      <c r="K37" s="26"/>
      <c r="L37" s="26">
        <f t="shared" si="21"/>
        <v>0</v>
      </c>
      <c r="M37" s="26"/>
      <c r="N37" s="50"/>
      <c r="O37" s="16">
        <f t="shared" si="22"/>
        <v>0</v>
      </c>
    </row>
    <row r="38" spans="1:15" x14ac:dyDescent="0.2">
      <c r="A38" s="4" t="s">
        <v>20</v>
      </c>
      <c r="B38" s="53">
        <f>SUM(B26:B37)</f>
        <v>0</v>
      </c>
      <c r="C38" s="5">
        <f t="shared" ref="C38:G38" si="23">SUM(C26:C37)</f>
        <v>0</v>
      </c>
      <c r="D38" s="53">
        <f t="shared" si="23"/>
        <v>0</v>
      </c>
      <c r="E38" s="5">
        <f t="shared" si="23"/>
        <v>0</v>
      </c>
      <c r="F38" s="5">
        <f t="shared" si="23"/>
        <v>0</v>
      </c>
      <c r="G38" s="5">
        <f t="shared" si="23"/>
        <v>0</v>
      </c>
      <c r="H38" s="5"/>
      <c r="I38" s="5"/>
      <c r="J38" s="5"/>
      <c r="K38" s="5"/>
      <c r="L38" s="26">
        <f t="shared" si="21"/>
        <v>0</v>
      </c>
      <c r="M38" s="5"/>
      <c r="N38" s="5">
        <f t="shared" ref="N38:O38" si="24">SUM(N26:N37)</f>
        <v>0</v>
      </c>
      <c r="O38" s="5">
        <f t="shared" si="24"/>
        <v>0</v>
      </c>
    </row>
    <row r="44" spans="1:15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335"/>
      <c r="K44" s="335"/>
      <c r="L44" s="335"/>
      <c r="M44" s="335"/>
      <c r="N44" s="322"/>
      <c r="O44" s="322"/>
    </row>
    <row r="45" spans="1:15" x14ac:dyDescent="0.2">
      <c r="A45" s="320"/>
      <c r="B45" s="7"/>
      <c r="C45" s="7"/>
      <c r="D45" s="7"/>
      <c r="E45" s="7"/>
      <c r="F45" s="7"/>
      <c r="G45" s="7"/>
      <c r="H45" s="20"/>
      <c r="I45" s="20"/>
      <c r="J45" s="8"/>
      <c r="K45" s="8"/>
      <c r="L45" s="8"/>
      <c r="M45" s="8"/>
      <c r="N45" s="9"/>
      <c r="O45" s="9"/>
    </row>
    <row r="46" spans="1:15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</sheetData>
  <mergeCells count="101">
    <mergeCell ref="D23:E23"/>
    <mergeCell ref="F23:G23"/>
    <mergeCell ref="B24:C24"/>
    <mergeCell ref="D24:E24"/>
    <mergeCell ref="F24:G24"/>
    <mergeCell ref="B2:E2"/>
    <mergeCell ref="B3:E3"/>
    <mergeCell ref="B5:B7"/>
    <mergeCell ref="J2:M2"/>
    <mergeCell ref="J3:M3"/>
    <mergeCell ref="N2:Q2"/>
    <mergeCell ref="N3:Q3"/>
    <mergeCell ref="R2:U2"/>
    <mergeCell ref="R3:U3"/>
    <mergeCell ref="F2:I2"/>
    <mergeCell ref="A44:A45"/>
    <mergeCell ref="B44:C44"/>
    <mergeCell ref="D44:E44"/>
    <mergeCell ref="F44:G44"/>
    <mergeCell ref="H44:I44"/>
    <mergeCell ref="J44:M44"/>
    <mergeCell ref="N44:O44"/>
    <mergeCell ref="F3:I3"/>
    <mergeCell ref="H24:I24"/>
    <mergeCell ref="J23:M23"/>
    <mergeCell ref="N23:O23"/>
    <mergeCell ref="J24:M24"/>
    <mergeCell ref="H23:I23"/>
    <mergeCell ref="N24:O24"/>
    <mergeCell ref="A2:A4"/>
    <mergeCell ref="A23:A25"/>
    <mergeCell ref="B23:C23"/>
    <mergeCell ref="AH2:AK2"/>
    <mergeCell ref="AH3:AK3"/>
    <mergeCell ref="AL2:AO2"/>
    <mergeCell ref="AL3:AO3"/>
    <mergeCell ref="N5:N7"/>
    <mergeCell ref="R5:R7"/>
    <mergeCell ref="T5:T7"/>
    <mergeCell ref="U5:U7"/>
    <mergeCell ref="V5:V7"/>
    <mergeCell ref="X5:X7"/>
    <mergeCell ref="Y5:Y7"/>
    <mergeCell ref="Z5:Z7"/>
    <mergeCell ref="AB5:AB7"/>
    <mergeCell ref="AC5:AC7"/>
    <mergeCell ref="AD5:AD7"/>
    <mergeCell ref="AF5:AF7"/>
    <mergeCell ref="V2:Y2"/>
    <mergeCell ref="V3:Y3"/>
    <mergeCell ref="Z2:AC2"/>
    <mergeCell ref="Z3:AC3"/>
    <mergeCell ref="AD2:AG2"/>
    <mergeCell ref="AD3:AG3"/>
    <mergeCell ref="AL5:AL7"/>
    <mergeCell ref="J5:J7"/>
    <mergeCell ref="L5:L7"/>
    <mergeCell ref="M5:M7"/>
    <mergeCell ref="B8:B16"/>
    <mergeCell ref="D8:D16"/>
    <mergeCell ref="E8:E16"/>
    <mergeCell ref="F8:F16"/>
    <mergeCell ref="H8:H16"/>
    <mergeCell ref="I8:I16"/>
    <mergeCell ref="J8:J16"/>
    <mergeCell ref="L8:L16"/>
    <mergeCell ref="M8:M16"/>
    <mergeCell ref="D5:D7"/>
    <mergeCell ref="E5:E7"/>
    <mergeCell ref="F5:F7"/>
    <mergeCell ref="H5:H7"/>
    <mergeCell ref="I5:I7"/>
    <mergeCell ref="N8:N16"/>
    <mergeCell ref="P5:P7"/>
    <mergeCell ref="Q5:Q7"/>
    <mergeCell ref="P8:P16"/>
    <mergeCell ref="Q8:Q16"/>
    <mergeCell ref="AK8:AK16"/>
    <mergeCell ref="AL8:AL16"/>
    <mergeCell ref="AN8:AN16"/>
    <mergeCell ref="AO8:AO16"/>
    <mergeCell ref="AN5:AN7"/>
    <mergeCell ref="AO5:AO7"/>
    <mergeCell ref="R8:R16"/>
    <mergeCell ref="T8:T16"/>
    <mergeCell ref="U8:U16"/>
    <mergeCell ref="V8:V16"/>
    <mergeCell ref="X8:X16"/>
    <mergeCell ref="Y8:Y16"/>
    <mergeCell ref="Z8:Z16"/>
    <mergeCell ref="AB8:AB16"/>
    <mergeCell ref="AC8:AC16"/>
    <mergeCell ref="AD8:AD16"/>
    <mergeCell ref="AF8:AF16"/>
    <mergeCell ref="AG8:AG16"/>
    <mergeCell ref="AH8:AH16"/>
    <mergeCell ref="AJ8:AJ16"/>
    <mergeCell ref="AG5:AG7"/>
    <mergeCell ref="AH5:AH7"/>
    <mergeCell ref="AJ5:AJ7"/>
    <mergeCell ref="AK5:AK7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</sheetPr>
  <dimension ref="A1:L17"/>
  <sheetViews>
    <sheetView workbookViewId="0">
      <selection activeCell="L6" sqref="L6"/>
    </sheetView>
  </sheetViews>
  <sheetFormatPr defaultRowHeight="12.75" x14ac:dyDescent="0.2"/>
  <cols>
    <col min="1" max="7" width="10.7109375" customWidth="1"/>
    <col min="9" max="9" width="11" customWidth="1"/>
  </cols>
  <sheetData>
    <row r="1" spans="1:12" ht="51" customHeight="1" x14ac:dyDescent="0.2">
      <c r="A1" s="553" t="s">
        <v>25</v>
      </c>
      <c r="B1" s="554" t="s">
        <v>220</v>
      </c>
      <c r="C1" s="555"/>
      <c r="D1" s="556"/>
      <c r="E1" s="557" t="s">
        <v>219</v>
      </c>
      <c r="F1" s="558"/>
      <c r="G1" s="559"/>
      <c r="L1" s="17"/>
    </row>
    <row r="2" spans="1:12" ht="15.75" x14ac:dyDescent="0.2">
      <c r="A2" s="553"/>
      <c r="B2" s="41" t="s">
        <v>31</v>
      </c>
      <c r="C2" s="42" t="s">
        <v>30</v>
      </c>
      <c r="D2" s="41" t="s">
        <v>32</v>
      </c>
      <c r="E2" s="43" t="s">
        <v>31</v>
      </c>
      <c r="F2" s="44" t="s">
        <v>30</v>
      </c>
      <c r="G2" s="43" t="s">
        <v>32</v>
      </c>
      <c r="I2" s="48"/>
    </row>
    <row r="3" spans="1:12" x14ac:dyDescent="0.2">
      <c r="A3" s="12" t="s">
        <v>0</v>
      </c>
      <c r="B3" s="33"/>
      <c r="C3" s="34"/>
      <c r="D3" s="35"/>
      <c r="E3" s="36">
        <v>-1.4</v>
      </c>
      <c r="F3" s="37">
        <v>31</v>
      </c>
      <c r="G3" s="35">
        <v>662.5</v>
      </c>
      <c r="I3" s="30"/>
      <c r="J3" s="18"/>
      <c r="K3" s="31"/>
      <c r="L3" s="31"/>
    </row>
    <row r="4" spans="1:12" x14ac:dyDescent="0.2">
      <c r="A4" s="12" t="s">
        <v>1</v>
      </c>
      <c r="B4" s="33"/>
      <c r="C4" s="34"/>
      <c r="D4" s="35"/>
      <c r="E4" s="36">
        <v>2.8</v>
      </c>
      <c r="F4" s="37">
        <v>28</v>
      </c>
      <c r="G4" s="35">
        <v>480.5</v>
      </c>
      <c r="I4" s="30"/>
      <c r="J4" s="18"/>
      <c r="K4" s="31"/>
      <c r="L4" s="31"/>
    </row>
    <row r="5" spans="1:12" x14ac:dyDescent="0.2">
      <c r="A5" s="12" t="s">
        <v>2</v>
      </c>
      <c r="B5" s="33"/>
      <c r="C5" s="34"/>
      <c r="D5" s="35"/>
      <c r="E5" s="36">
        <v>6.9</v>
      </c>
      <c r="F5" s="37">
        <v>31</v>
      </c>
      <c r="G5" s="35">
        <v>407.3</v>
      </c>
      <c r="I5" s="30"/>
      <c r="J5" s="18"/>
      <c r="K5" s="31"/>
      <c r="L5" s="31"/>
    </row>
    <row r="6" spans="1:12" x14ac:dyDescent="0.2">
      <c r="A6" s="12" t="s">
        <v>3</v>
      </c>
      <c r="B6" s="33"/>
      <c r="C6" s="38"/>
      <c r="D6" s="35"/>
      <c r="E6" s="36">
        <v>10.5</v>
      </c>
      <c r="F6" s="37">
        <v>27</v>
      </c>
      <c r="G6" s="35">
        <v>265.3</v>
      </c>
      <c r="I6" s="30"/>
      <c r="J6" s="19"/>
      <c r="K6" s="31"/>
      <c r="L6" s="31"/>
    </row>
    <row r="7" spans="1:12" x14ac:dyDescent="0.2">
      <c r="A7" s="12" t="s">
        <v>4</v>
      </c>
      <c r="B7" s="33"/>
      <c r="C7" s="38"/>
      <c r="D7" s="35"/>
      <c r="E7" s="36">
        <v>11.5</v>
      </c>
      <c r="F7" s="37">
        <v>23</v>
      </c>
      <c r="G7" s="35">
        <v>215</v>
      </c>
      <c r="I7" s="30"/>
      <c r="J7" s="19"/>
      <c r="K7" s="31"/>
      <c r="L7" s="31"/>
    </row>
    <row r="8" spans="1:12" x14ac:dyDescent="0.2">
      <c r="A8" s="12" t="s">
        <v>5</v>
      </c>
      <c r="B8" s="33"/>
      <c r="C8" s="38"/>
      <c r="D8" s="35"/>
      <c r="E8" s="36">
        <v>21.8</v>
      </c>
      <c r="F8" s="37">
        <v>0</v>
      </c>
      <c r="G8" s="35">
        <v>0</v>
      </c>
      <c r="I8" s="30"/>
      <c r="J8" s="19"/>
      <c r="K8" s="31"/>
      <c r="L8" s="31"/>
    </row>
    <row r="9" spans="1:12" x14ac:dyDescent="0.2">
      <c r="A9" s="12" t="s">
        <v>26</v>
      </c>
      <c r="B9" s="33"/>
      <c r="C9" s="38"/>
      <c r="D9" s="35"/>
      <c r="E9" s="36">
        <v>19.7</v>
      </c>
      <c r="F9" s="37">
        <v>0</v>
      </c>
      <c r="G9" s="35">
        <v>0</v>
      </c>
      <c r="I9" s="30"/>
      <c r="J9" s="19"/>
      <c r="K9" s="31"/>
      <c r="L9" s="31"/>
    </row>
    <row r="10" spans="1:12" x14ac:dyDescent="0.2">
      <c r="A10" s="12" t="s">
        <v>7</v>
      </c>
      <c r="B10" s="33"/>
      <c r="C10" s="38"/>
      <c r="D10" s="35"/>
      <c r="E10" s="36">
        <v>20.5</v>
      </c>
      <c r="F10" s="37">
        <v>0</v>
      </c>
      <c r="G10" s="35">
        <v>0</v>
      </c>
      <c r="I10" s="30"/>
      <c r="J10" s="19"/>
      <c r="K10" s="31"/>
      <c r="L10" s="31"/>
    </row>
    <row r="11" spans="1:12" x14ac:dyDescent="0.2">
      <c r="A11" s="12" t="s">
        <v>8</v>
      </c>
      <c r="B11" s="33"/>
      <c r="C11" s="38"/>
      <c r="D11" s="35"/>
      <c r="E11" s="36">
        <v>14.5</v>
      </c>
      <c r="F11" s="37">
        <v>6</v>
      </c>
      <c r="G11" s="35">
        <v>46.8</v>
      </c>
      <c r="I11" s="30"/>
      <c r="J11" s="19"/>
      <c r="K11" s="31"/>
      <c r="L11" s="31"/>
    </row>
    <row r="12" spans="1:12" x14ac:dyDescent="0.2">
      <c r="A12" s="12" t="s">
        <v>9</v>
      </c>
      <c r="B12" s="33"/>
      <c r="C12" s="38"/>
      <c r="D12" s="35"/>
      <c r="E12" s="36">
        <v>10.9</v>
      </c>
      <c r="F12" s="37">
        <v>21</v>
      </c>
      <c r="G12" s="35">
        <v>215.6</v>
      </c>
      <c r="I12" s="30"/>
      <c r="J12" s="19"/>
      <c r="K12" s="31"/>
      <c r="L12" s="31"/>
    </row>
    <row r="13" spans="1:12" x14ac:dyDescent="0.2">
      <c r="A13" s="12" t="s">
        <v>10</v>
      </c>
      <c r="B13" s="33"/>
      <c r="C13" s="34"/>
      <c r="D13" s="35"/>
      <c r="E13" s="36">
        <v>7.9</v>
      </c>
      <c r="F13" s="37">
        <v>30</v>
      </c>
      <c r="G13" s="35">
        <v>364.5</v>
      </c>
      <c r="I13" s="30"/>
      <c r="J13" s="19"/>
      <c r="K13" s="31"/>
      <c r="L13" s="31"/>
    </row>
    <row r="14" spans="1:12" x14ac:dyDescent="0.2">
      <c r="A14" s="12" t="s">
        <v>11</v>
      </c>
      <c r="B14" s="33"/>
      <c r="C14" s="34"/>
      <c r="D14" s="35"/>
      <c r="E14" s="36">
        <v>3.1</v>
      </c>
      <c r="F14" s="37">
        <v>31</v>
      </c>
      <c r="G14" s="35">
        <v>523.79999999999995</v>
      </c>
      <c r="I14" s="47"/>
      <c r="J14" s="18"/>
      <c r="K14" s="31"/>
      <c r="L14" s="31"/>
    </row>
    <row r="15" spans="1:12" x14ac:dyDescent="0.2">
      <c r="A15" s="6"/>
      <c r="B15" s="39"/>
      <c r="C15" s="40"/>
      <c r="D15" s="45"/>
      <c r="E15" s="39">
        <v>10.7</v>
      </c>
      <c r="F15" s="40">
        <v>228</v>
      </c>
      <c r="G15" s="45">
        <v>3181.3</v>
      </c>
      <c r="I15" s="49"/>
    </row>
    <row r="16" spans="1:12" ht="13.5" thickBot="1" x14ac:dyDescent="0.25"/>
    <row r="17" spans="1:12" ht="15" thickBot="1" x14ac:dyDescent="0.25">
      <c r="A17" s="22" t="s">
        <v>27</v>
      </c>
      <c r="B17" s="23"/>
      <c r="C17" s="24">
        <v>20</v>
      </c>
      <c r="D17" s="25" t="s">
        <v>28</v>
      </c>
      <c r="E17" s="13"/>
      <c r="F17" s="13"/>
      <c r="G17" s="13"/>
      <c r="H17" s="13"/>
      <c r="I17" s="13"/>
      <c r="J17" s="13"/>
      <c r="K17" s="13"/>
      <c r="L17" s="13"/>
    </row>
  </sheetData>
  <mergeCells count="3">
    <mergeCell ref="A1:A2"/>
    <mergeCell ref="B1:D1"/>
    <mergeCell ref="E1:G1"/>
  </mergeCell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62419-465A-46B4-9F38-C6AC42074798}">
  <dimension ref="A1:D16"/>
  <sheetViews>
    <sheetView workbookViewId="0">
      <selection activeCell="D27" sqref="D27"/>
    </sheetView>
  </sheetViews>
  <sheetFormatPr defaultRowHeight="12.75" x14ac:dyDescent="0.2"/>
  <cols>
    <col min="1" max="1" width="51.7109375" customWidth="1"/>
    <col min="2" max="4" width="12.7109375" customWidth="1"/>
  </cols>
  <sheetData>
    <row r="1" spans="1:4" ht="17.25" customHeight="1" thickBot="1" x14ac:dyDescent="0.25">
      <c r="A1" s="278" t="s">
        <v>221</v>
      </c>
      <c r="B1" s="560" t="s">
        <v>222</v>
      </c>
      <c r="C1" s="560"/>
      <c r="D1" s="561"/>
    </row>
    <row r="2" spans="1:4" ht="29.25" customHeight="1" x14ac:dyDescent="0.2">
      <c r="A2" s="275" t="s">
        <v>226</v>
      </c>
      <c r="B2" s="276" t="s">
        <v>223</v>
      </c>
      <c r="C2" s="276" t="s">
        <v>224</v>
      </c>
      <c r="D2" s="277" t="s">
        <v>225</v>
      </c>
    </row>
    <row r="3" spans="1:4" x14ac:dyDescent="0.2">
      <c r="A3" s="269" t="s">
        <v>240</v>
      </c>
      <c r="B3" s="268">
        <v>21</v>
      </c>
      <c r="C3" s="268">
        <v>18</v>
      </c>
      <c r="D3" s="270">
        <v>15</v>
      </c>
    </row>
    <row r="4" spans="1:4" x14ac:dyDescent="0.2">
      <c r="A4" s="269" t="s">
        <v>227</v>
      </c>
      <c r="B4" s="268">
        <v>21</v>
      </c>
      <c r="C4" s="268">
        <v>18</v>
      </c>
      <c r="D4" s="270">
        <v>15</v>
      </c>
    </row>
    <row r="5" spans="1:4" x14ac:dyDescent="0.2">
      <c r="A5" s="269" t="s">
        <v>228</v>
      </c>
      <c r="B5" s="268">
        <v>18</v>
      </c>
      <c r="C5" s="268">
        <v>15</v>
      </c>
      <c r="D5" s="270">
        <v>15</v>
      </c>
    </row>
    <row r="6" spans="1:4" x14ac:dyDescent="0.2">
      <c r="A6" s="269" t="s">
        <v>229</v>
      </c>
      <c r="B6" s="268">
        <v>18</v>
      </c>
      <c r="C6" s="268">
        <v>15</v>
      </c>
      <c r="D6" s="270">
        <v>15</v>
      </c>
    </row>
    <row r="7" spans="1:4" x14ac:dyDescent="0.2">
      <c r="A7" s="269" t="s">
        <v>230</v>
      </c>
      <c r="B7" s="268">
        <v>21</v>
      </c>
      <c r="C7" s="268">
        <v>18</v>
      </c>
      <c r="D7" s="270">
        <v>15</v>
      </c>
    </row>
    <row r="8" spans="1:4" x14ac:dyDescent="0.2">
      <c r="A8" s="269" t="s">
        <v>231</v>
      </c>
      <c r="B8" s="268">
        <v>22</v>
      </c>
      <c r="C8" s="268">
        <v>18</v>
      </c>
      <c r="D8" s="270">
        <v>15</v>
      </c>
    </row>
    <row r="9" spans="1:4" x14ac:dyDescent="0.2">
      <c r="A9" s="269" t="s">
        <v>232</v>
      </c>
      <c r="B9" s="268">
        <v>20</v>
      </c>
      <c r="C9" s="268">
        <v>17</v>
      </c>
      <c r="D9" s="270">
        <v>15</v>
      </c>
    </row>
    <row r="10" spans="1:4" x14ac:dyDescent="0.2">
      <c r="A10" s="269" t="s">
        <v>233</v>
      </c>
      <c r="B10" s="268">
        <v>17</v>
      </c>
      <c r="C10" s="268">
        <v>15</v>
      </c>
      <c r="D10" s="270">
        <v>15</v>
      </c>
    </row>
    <row r="11" spans="1:4" x14ac:dyDescent="0.2">
      <c r="A11" s="269" t="s">
        <v>239</v>
      </c>
      <c r="B11" s="268">
        <v>22</v>
      </c>
      <c r="C11" s="268">
        <v>18</v>
      </c>
      <c r="D11" s="270">
        <v>15</v>
      </c>
    </row>
    <row r="12" spans="1:4" x14ac:dyDescent="0.2">
      <c r="A12" s="269" t="s">
        <v>234</v>
      </c>
      <c r="B12" s="268">
        <v>24</v>
      </c>
      <c r="C12" s="268">
        <v>18</v>
      </c>
      <c r="D12" s="271" t="s">
        <v>241</v>
      </c>
    </row>
    <row r="13" spans="1:4" x14ac:dyDescent="0.2">
      <c r="A13" s="269" t="s">
        <v>235</v>
      </c>
      <c r="B13" s="268">
        <v>22</v>
      </c>
      <c r="C13" s="268">
        <v>20</v>
      </c>
      <c r="D13" s="271" t="s">
        <v>241</v>
      </c>
    </row>
    <row r="14" spans="1:4" x14ac:dyDescent="0.2">
      <c r="A14" s="269" t="s">
        <v>236</v>
      </c>
      <c r="B14" s="268">
        <v>22</v>
      </c>
      <c r="C14" s="268">
        <v>18</v>
      </c>
      <c r="D14" s="271" t="s">
        <v>241</v>
      </c>
    </row>
    <row r="15" spans="1:4" x14ac:dyDescent="0.2">
      <c r="A15" s="269" t="s">
        <v>237</v>
      </c>
      <c r="B15" s="268">
        <v>21</v>
      </c>
      <c r="C15" s="268">
        <v>18</v>
      </c>
      <c r="D15" s="271" t="s">
        <v>241</v>
      </c>
    </row>
    <row r="16" spans="1:4" ht="13.5" thickBot="1" x14ac:dyDescent="0.25">
      <c r="A16" s="272" t="s">
        <v>238</v>
      </c>
      <c r="B16" s="273">
        <v>5</v>
      </c>
      <c r="C16" s="273">
        <v>5</v>
      </c>
      <c r="D16" s="274">
        <v>5</v>
      </c>
    </row>
  </sheetData>
  <mergeCells count="1">
    <mergeCell ref="B1:D1"/>
  </mergeCells>
  <pageMargins left="0.7" right="0.7" top="0.78740157499999996" bottom="0.78740157499999996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7BF06-FE49-4F20-9725-848F9CD20169}">
  <dimension ref="A1:O58"/>
  <sheetViews>
    <sheetView workbookViewId="0">
      <selection activeCell="T20" sqref="T20"/>
    </sheetView>
  </sheetViews>
  <sheetFormatPr defaultRowHeight="12.75" x14ac:dyDescent="0.2"/>
  <cols>
    <col min="1" max="1" width="12.7109375" customWidth="1"/>
    <col min="2" max="15" width="11.7109375" customWidth="1"/>
  </cols>
  <sheetData>
    <row r="1" spans="1:15" ht="15" x14ac:dyDescent="0.2">
      <c r="A1" s="21" t="s">
        <v>34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57" t="s">
        <v>33</v>
      </c>
    </row>
    <row r="2" spans="1:15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304"/>
      <c r="K2" s="305"/>
      <c r="L2" s="305"/>
      <c r="M2" s="306"/>
      <c r="N2" s="322"/>
      <c r="O2" s="322"/>
    </row>
    <row r="3" spans="1:15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304" t="s">
        <v>14</v>
      </c>
      <c r="K3" s="305"/>
      <c r="L3" s="305"/>
      <c r="M3" s="306"/>
      <c r="N3" s="322" t="s">
        <v>15</v>
      </c>
      <c r="O3" s="322"/>
    </row>
    <row r="4" spans="1:15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8" t="s">
        <v>35</v>
      </c>
      <c r="K4" s="8" t="s">
        <v>36</v>
      </c>
      <c r="L4" s="8" t="s">
        <v>37</v>
      </c>
      <c r="M4" s="8" t="s">
        <v>17</v>
      </c>
      <c r="N4" s="9" t="s">
        <v>23</v>
      </c>
      <c r="O4" s="9" t="s">
        <v>24</v>
      </c>
    </row>
    <row r="5" spans="1:15" x14ac:dyDescent="0.2">
      <c r="A5" s="3" t="s">
        <v>0</v>
      </c>
      <c r="B5" s="46"/>
      <c r="C5" s="2"/>
      <c r="D5" s="51"/>
      <c r="E5" s="16"/>
      <c r="F5" s="2"/>
      <c r="G5" s="2"/>
      <c r="H5" s="2"/>
      <c r="I5" s="2"/>
      <c r="J5" s="26"/>
      <c r="K5" s="26"/>
      <c r="L5" s="26">
        <f>J5+K5</f>
        <v>0</v>
      </c>
      <c r="M5" s="26"/>
      <c r="N5" s="50"/>
      <c r="O5" s="16"/>
    </row>
    <row r="6" spans="1:15" x14ac:dyDescent="0.2">
      <c r="A6" s="3" t="s">
        <v>1</v>
      </c>
      <c r="B6" s="46"/>
      <c r="C6" s="2"/>
      <c r="D6" s="52"/>
      <c r="E6" s="16"/>
      <c r="F6" s="2"/>
      <c r="G6" s="2"/>
      <c r="H6" s="2"/>
      <c r="I6" s="2"/>
      <c r="J6" s="26"/>
      <c r="K6" s="26"/>
      <c r="L6" s="26">
        <f t="shared" ref="L6:L17" si="0">J6+K6</f>
        <v>0</v>
      </c>
      <c r="M6" s="26"/>
      <c r="N6" s="50"/>
      <c r="O6" s="16"/>
    </row>
    <row r="7" spans="1:15" x14ac:dyDescent="0.2">
      <c r="A7" s="3" t="s">
        <v>2</v>
      </c>
      <c r="B7" s="46"/>
      <c r="C7" s="2"/>
      <c r="D7" s="52"/>
      <c r="E7" s="16"/>
      <c r="F7" s="2"/>
      <c r="G7" s="2"/>
      <c r="H7" s="2"/>
      <c r="I7" s="2"/>
      <c r="J7" s="26"/>
      <c r="K7" s="26"/>
      <c r="L7" s="26">
        <f t="shared" si="0"/>
        <v>0</v>
      </c>
      <c r="M7" s="26"/>
      <c r="N7" s="50"/>
      <c r="O7" s="16"/>
    </row>
    <row r="8" spans="1:15" x14ac:dyDescent="0.2">
      <c r="A8" s="3" t="s">
        <v>3</v>
      </c>
      <c r="B8" s="46"/>
      <c r="C8" s="2"/>
      <c r="D8" s="52"/>
      <c r="E8" s="16"/>
      <c r="F8" s="2"/>
      <c r="G8" s="2"/>
      <c r="H8" s="2"/>
      <c r="I8" s="2"/>
      <c r="J8" s="26"/>
      <c r="K8" s="26"/>
      <c r="L8" s="26">
        <f t="shared" si="0"/>
        <v>0</v>
      </c>
      <c r="M8" s="26"/>
      <c r="N8" s="50"/>
      <c r="O8" s="16"/>
    </row>
    <row r="9" spans="1:15" x14ac:dyDescent="0.2">
      <c r="A9" s="3" t="s">
        <v>4</v>
      </c>
      <c r="B9" s="46"/>
      <c r="C9" s="2"/>
      <c r="D9" s="52"/>
      <c r="E9" s="16"/>
      <c r="F9" s="2"/>
      <c r="G9" s="2"/>
      <c r="H9" s="2"/>
      <c r="I9" s="2"/>
      <c r="J9" s="26"/>
      <c r="K9" s="26"/>
      <c r="L9" s="26">
        <f t="shared" si="0"/>
        <v>0</v>
      </c>
      <c r="M9" s="26"/>
      <c r="N9" s="50"/>
      <c r="O9" s="16"/>
    </row>
    <row r="10" spans="1:15" x14ac:dyDescent="0.2">
      <c r="A10" s="3" t="s">
        <v>5</v>
      </c>
      <c r="B10" s="46"/>
      <c r="C10" s="2"/>
      <c r="D10" s="52"/>
      <c r="E10" s="16"/>
      <c r="F10" s="2"/>
      <c r="G10" s="2"/>
      <c r="H10" s="2"/>
      <c r="I10" s="2"/>
      <c r="J10" s="26"/>
      <c r="K10" s="26"/>
      <c r="L10" s="26">
        <f t="shared" si="0"/>
        <v>0</v>
      </c>
      <c r="M10" s="26"/>
      <c r="N10" s="50"/>
      <c r="O10" s="16"/>
    </row>
    <row r="11" spans="1:15" x14ac:dyDescent="0.2">
      <c r="A11" s="3" t="s">
        <v>6</v>
      </c>
      <c r="B11" s="46"/>
      <c r="C11" s="2"/>
      <c r="D11" s="52"/>
      <c r="E11" s="16"/>
      <c r="F11" s="2"/>
      <c r="G11" s="2"/>
      <c r="H11" s="2"/>
      <c r="I11" s="2"/>
      <c r="J11" s="26"/>
      <c r="K11" s="26"/>
      <c r="L11" s="26">
        <f t="shared" si="0"/>
        <v>0</v>
      </c>
      <c r="M11" s="26"/>
      <c r="N11" s="50"/>
      <c r="O11" s="16"/>
    </row>
    <row r="12" spans="1:15" x14ac:dyDescent="0.2">
      <c r="A12" s="3" t="s">
        <v>7</v>
      </c>
      <c r="B12" s="46"/>
      <c r="C12" s="2"/>
      <c r="D12" s="52"/>
      <c r="E12" s="16"/>
      <c r="F12" s="2"/>
      <c r="G12" s="2"/>
      <c r="H12" s="2"/>
      <c r="I12" s="2"/>
      <c r="J12" s="26"/>
      <c r="K12" s="26"/>
      <c r="L12" s="26">
        <f t="shared" si="0"/>
        <v>0</v>
      </c>
      <c r="M12" s="26"/>
      <c r="N12" s="50"/>
      <c r="O12" s="16"/>
    </row>
    <row r="13" spans="1:15" x14ac:dyDescent="0.2">
      <c r="A13" s="3" t="s">
        <v>8</v>
      </c>
      <c r="B13" s="46"/>
      <c r="C13" s="2"/>
      <c r="D13" s="52"/>
      <c r="E13" s="16"/>
      <c r="F13" s="2"/>
      <c r="G13" s="2"/>
      <c r="H13" s="2"/>
      <c r="I13" s="2"/>
      <c r="J13" s="26"/>
      <c r="K13" s="26"/>
      <c r="L13" s="26">
        <f t="shared" si="0"/>
        <v>0</v>
      </c>
      <c r="M13" s="26"/>
      <c r="N13" s="50"/>
      <c r="O13" s="16"/>
    </row>
    <row r="14" spans="1:15" x14ac:dyDescent="0.2">
      <c r="A14" s="3" t="s">
        <v>9</v>
      </c>
      <c r="B14" s="46"/>
      <c r="C14" s="2"/>
      <c r="D14" s="52"/>
      <c r="E14" s="16"/>
      <c r="F14" s="2"/>
      <c r="G14" s="2"/>
      <c r="H14" s="2"/>
      <c r="I14" s="2"/>
      <c r="J14" s="26"/>
      <c r="K14" s="26"/>
      <c r="L14" s="26">
        <f t="shared" si="0"/>
        <v>0</v>
      </c>
      <c r="M14" s="26"/>
      <c r="N14" s="50"/>
      <c r="O14" s="16"/>
    </row>
    <row r="15" spans="1:15" x14ac:dyDescent="0.2">
      <c r="A15" s="3" t="s">
        <v>10</v>
      </c>
      <c r="B15" s="46"/>
      <c r="C15" s="2"/>
      <c r="D15" s="52"/>
      <c r="E15" s="16"/>
      <c r="F15" s="2"/>
      <c r="G15" s="2"/>
      <c r="H15" s="2"/>
      <c r="I15" s="2"/>
      <c r="J15" s="26"/>
      <c r="K15" s="26"/>
      <c r="L15" s="26">
        <f t="shared" si="0"/>
        <v>0</v>
      </c>
      <c r="M15" s="26"/>
      <c r="N15" s="50"/>
      <c r="O15" s="16"/>
    </row>
    <row r="16" spans="1:15" x14ac:dyDescent="0.2">
      <c r="A16" s="3" t="s">
        <v>11</v>
      </c>
      <c r="B16" s="46"/>
      <c r="C16" s="2"/>
      <c r="D16" s="52"/>
      <c r="E16" s="16"/>
      <c r="F16" s="2"/>
      <c r="G16" s="2"/>
      <c r="H16" s="2"/>
      <c r="I16" s="2"/>
      <c r="J16" s="26"/>
      <c r="K16" s="26"/>
      <c r="L16" s="26">
        <f t="shared" si="0"/>
        <v>0</v>
      </c>
      <c r="M16" s="26"/>
      <c r="N16" s="50"/>
      <c r="O16" s="16"/>
    </row>
    <row r="17" spans="1:15" x14ac:dyDescent="0.2">
      <c r="A17" s="4" t="s">
        <v>20</v>
      </c>
      <c r="B17" s="53">
        <f>SUM(B5:B16)</f>
        <v>0</v>
      </c>
      <c r="C17" s="5">
        <f t="shared" ref="C17:O17" si="1">SUM(C5:C16)</f>
        <v>0</v>
      </c>
      <c r="D17" s="53">
        <f t="shared" si="1"/>
        <v>0</v>
      </c>
      <c r="E17" s="5">
        <f t="shared" si="1"/>
        <v>0</v>
      </c>
      <c r="F17" s="5">
        <f t="shared" si="1"/>
        <v>0</v>
      </c>
      <c r="G17" s="5">
        <f t="shared" si="1"/>
        <v>0</v>
      </c>
      <c r="H17" s="5"/>
      <c r="I17" s="5"/>
      <c r="J17" s="5"/>
      <c r="K17" s="5"/>
      <c r="L17" s="26">
        <f t="shared" si="0"/>
        <v>0</v>
      </c>
      <c r="M17" s="5"/>
      <c r="N17" s="5">
        <f t="shared" si="1"/>
        <v>0</v>
      </c>
      <c r="O17" s="5">
        <f t="shared" si="1"/>
        <v>0</v>
      </c>
    </row>
    <row r="18" spans="1:15" x14ac:dyDescent="0.2">
      <c r="A18" s="1"/>
      <c r="B18" s="1"/>
      <c r="C18" s="1"/>
      <c r="D18" s="1"/>
      <c r="E18" s="28"/>
      <c r="F18" s="54"/>
      <c r="G18" s="55"/>
      <c r="H18" s="54"/>
      <c r="I18" s="55"/>
      <c r="J18" s="29"/>
      <c r="K18" s="29"/>
      <c r="L18" s="29"/>
      <c r="M18" s="32"/>
      <c r="N18" s="27"/>
      <c r="O18" s="32"/>
    </row>
    <row r="19" spans="1:1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3" spans="1:15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304"/>
      <c r="K23" s="305"/>
      <c r="L23" s="305"/>
      <c r="M23" s="306"/>
      <c r="N23" s="322"/>
      <c r="O23" s="322"/>
    </row>
    <row r="24" spans="1:15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304" t="s">
        <v>14</v>
      </c>
      <c r="K24" s="305"/>
      <c r="L24" s="305"/>
      <c r="M24" s="306"/>
      <c r="N24" s="322" t="s">
        <v>15</v>
      </c>
      <c r="O24" s="322"/>
    </row>
    <row r="25" spans="1:15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8" t="s">
        <v>35</v>
      </c>
      <c r="K25" s="8" t="s">
        <v>36</v>
      </c>
      <c r="L25" s="8" t="s">
        <v>37</v>
      </c>
      <c r="M25" s="8" t="s">
        <v>17</v>
      </c>
      <c r="N25" s="9" t="s">
        <v>23</v>
      </c>
      <c r="O25" s="9" t="s">
        <v>24</v>
      </c>
    </row>
    <row r="26" spans="1:15" x14ac:dyDescent="0.2">
      <c r="A26" s="3" t="s">
        <v>0</v>
      </c>
      <c r="B26" s="46"/>
      <c r="C26" s="2"/>
      <c r="D26" s="51"/>
      <c r="E26" s="16"/>
      <c r="F26" s="2"/>
      <c r="G26" s="2"/>
      <c r="H26" s="2"/>
      <c r="I26" s="2"/>
      <c r="J26" s="26"/>
      <c r="K26" s="26"/>
      <c r="L26" s="26">
        <f>J26+K26</f>
        <v>0</v>
      </c>
      <c r="M26" s="26"/>
      <c r="N26" s="50"/>
      <c r="O26" s="16"/>
    </row>
    <row r="27" spans="1:15" x14ac:dyDescent="0.2">
      <c r="A27" s="3" t="s">
        <v>1</v>
      </c>
      <c r="B27" s="46"/>
      <c r="C27" s="2"/>
      <c r="D27" s="52"/>
      <c r="E27" s="16"/>
      <c r="F27" s="2"/>
      <c r="G27" s="2"/>
      <c r="H27" s="2"/>
      <c r="I27" s="2"/>
      <c r="J27" s="26"/>
      <c r="K27" s="26"/>
      <c r="L27" s="26">
        <f t="shared" ref="L27:L38" si="2">J27+K27</f>
        <v>0</v>
      </c>
      <c r="M27" s="26"/>
      <c r="N27" s="50"/>
      <c r="O27" s="16"/>
    </row>
    <row r="28" spans="1:15" x14ac:dyDescent="0.2">
      <c r="A28" s="3" t="s">
        <v>2</v>
      </c>
      <c r="B28" s="46"/>
      <c r="C28" s="2"/>
      <c r="D28" s="52"/>
      <c r="E28" s="16"/>
      <c r="F28" s="2"/>
      <c r="G28" s="2"/>
      <c r="H28" s="2"/>
      <c r="I28" s="2"/>
      <c r="J28" s="26"/>
      <c r="K28" s="26"/>
      <c r="L28" s="26">
        <f t="shared" si="2"/>
        <v>0</v>
      </c>
      <c r="M28" s="26"/>
      <c r="N28" s="50"/>
      <c r="O28" s="16"/>
    </row>
    <row r="29" spans="1:15" x14ac:dyDescent="0.2">
      <c r="A29" s="3" t="s">
        <v>3</v>
      </c>
      <c r="B29" s="46"/>
      <c r="C29" s="2"/>
      <c r="D29" s="52"/>
      <c r="E29" s="16"/>
      <c r="F29" s="2"/>
      <c r="G29" s="2"/>
      <c r="H29" s="2"/>
      <c r="I29" s="2"/>
      <c r="J29" s="26"/>
      <c r="K29" s="26"/>
      <c r="L29" s="26">
        <f t="shared" si="2"/>
        <v>0</v>
      </c>
      <c r="M29" s="26"/>
      <c r="N29" s="50"/>
      <c r="O29" s="16"/>
    </row>
    <row r="30" spans="1:15" x14ac:dyDescent="0.2">
      <c r="A30" s="3" t="s">
        <v>4</v>
      </c>
      <c r="B30" s="46"/>
      <c r="C30" s="2"/>
      <c r="D30" s="52"/>
      <c r="E30" s="16"/>
      <c r="F30" s="2"/>
      <c r="G30" s="2"/>
      <c r="H30" s="2"/>
      <c r="I30" s="2"/>
      <c r="J30" s="26"/>
      <c r="K30" s="26"/>
      <c r="L30" s="26">
        <f t="shared" si="2"/>
        <v>0</v>
      </c>
      <c r="M30" s="26"/>
      <c r="N30" s="50"/>
      <c r="O30" s="16"/>
    </row>
    <row r="31" spans="1:15" x14ac:dyDescent="0.2">
      <c r="A31" s="3" t="s">
        <v>5</v>
      </c>
      <c r="B31" s="46"/>
      <c r="C31" s="2"/>
      <c r="D31" s="52"/>
      <c r="E31" s="16"/>
      <c r="F31" s="2"/>
      <c r="G31" s="2"/>
      <c r="H31" s="2"/>
      <c r="I31" s="2"/>
      <c r="J31" s="26"/>
      <c r="K31" s="26"/>
      <c r="L31" s="26">
        <f t="shared" si="2"/>
        <v>0</v>
      </c>
      <c r="M31" s="26"/>
      <c r="N31" s="50"/>
      <c r="O31" s="16"/>
    </row>
    <row r="32" spans="1:15" x14ac:dyDescent="0.2">
      <c r="A32" s="3" t="s">
        <v>6</v>
      </c>
      <c r="B32" s="46"/>
      <c r="C32" s="2"/>
      <c r="D32" s="52"/>
      <c r="E32" s="16"/>
      <c r="F32" s="2"/>
      <c r="G32" s="2"/>
      <c r="H32" s="2"/>
      <c r="I32" s="2"/>
      <c r="J32" s="26"/>
      <c r="K32" s="26"/>
      <c r="L32" s="26">
        <f t="shared" si="2"/>
        <v>0</v>
      </c>
      <c r="M32" s="26"/>
      <c r="N32" s="50"/>
      <c r="O32" s="16"/>
    </row>
    <row r="33" spans="1:15" x14ac:dyDescent="0.2">
      <c r="A33" s="3" t="s">
        <v>7</v>
      </c>
      <c r="B33" s="46"/>
      <c r="C33" s="2"/>
      <c r="D33" s="52"/>
      <c r="E33" s="16"/>
      <c r="F33" s="2"/>
      <c r="G33" s="2"/>
      <c r="H33" s="2"/>
      <c r="I33" s="2"/>
      <c r="J33" s="26"/>
      <c r="K33" s="26"/>
      <c r="L33" s="26">
        <f t="shared" si="2"/>
        <v>0</v>
      </c>
      <c r="M33" s="26"/>
      <c r="N33" s="50"/>
      <c r="O33" s="16"/>
    </row>
    <row r="34" spans="1:15" x14ac:dyDescent="0.2">
      <c r="A34" s="3" t="s">
        <v>8</v>
      </c>
      <c r="B34" s="46"/>
      <c r="C34" s="2"/>
      <c r="D34" s="52"/>
      <c r="E34" s="16"/>
      <c r="F34" s="2"/>
      <c r="G34" s="2"/>
      <c r="H34" s="2"/>
      <c r="I34" s="2"/>
      <c r="J34" s="26"/>
      <c r="K34" s="26"/>
      <c r="L34" s="26">
        <f t="shared" si="2"/>
        <v>0</v>
      </c>
      <c r="M34" s="26"/>
      <c r="N34" s="50"/>
      <c r="O34" s="16"/>
    </row>
    <row r="35" spans="1:15" x14ac:dyDescent="0.2">
      <c r="A35" s="3" t="s">
        <v>9</v>
      </c>
      <c r="B35" s="46"/>
      <c r="C35" s="2"/>
      <c r="D35" s="52"/>
      <c r="E35" s="16"/>
      <c r="F35" s="2"/>
      <c r="G35" s="2"/>
      <c r="H35" s="2"/>
      <c r="I35" s="2"/>
      <c r="J35" s="26"/>
      <c r="K35" s="26"/>
      <c r="L35" s="26">
        <f t="shared" si="2"/>
        <v>0</v>
      </c>
      <c r="M35" s="26"/>
      <c r="N35" s="50"/>
      <c r="O35" s="16"/>
    </row>
    <row r="36" spans="1:15" x14ac:dyDescent="0.2">
      <c r="A36" s="3" t="s">
        <v>10</v>
      </c>
      <c r="B36" s="46"/>
      <c r="C36" s="2"/>
      <c r="D36" s="52"/>
      <c r="E36" s="16"/>
      <c r="F36" s="2"/>
      <c r="G36" s="2"/>
      <c r="H36" s="2"/>
      <c r="I36" s="2"/>
      <c r="J36" s="26"/>
      <c r="K36" s="26"/>
      <c r="L36" s="26">
        <f t="shared" si="2"/>
        <v>0</v>
      </c>
      <c r="M36" s="26"/>
      <c r="N36" s="50"/>
      <c r="O36" s="16"/>
    </row>
    <row r="37" spans="1:15" x14ac:dyDescent="0.2">
      <c r="A37" s="3" t="s">
        <v>11</v>
      </c>
      <c r="B37" s="46"/>
      <c r="C37" s="2"/>
      <c r="D37" s="52"/>
      <c r="E37" s="16"/>
      <c r="F37" s="2"/>
      <c r="G37" s="2"/>
      <c r="H37" s="2"/>
      <c r="I37" s="2"/>
      <c r="J37" s="26"/>
      <c r="K37" s="26"/>
      <c r="L37" s="26">
        <f t="shared" si="2"/>
        <v>0</v>
      </c>
      <c r="M37" s="26"/>
      <c r="N37" s="50"/>
      <c r="O37" s="16"/>
    </row>
    <row r="38" spans="1:15" x14ac:dyDescent="0.2">
      <c r="A38" s="4" t="s">
        <v>20</v>
      </c>
      <c r="B38" s="53">
        <f>SUM(B26:B37)</f>
        <v>0</v>
      </c>
      <c r="C38" s="5">
        <f t="shared" ref="C38:G38" si="3">SUM(C26:C37)</f>
        <v>0</v>
      </c>
      <c r="D38" s="53">
        <f t="shared" si="3"/>
        <v>0</v>
      </c>
      <c r="E38" s="5">
        <f t="shared" si="3"/>
        <v>0</v>
      </c>
      <c r="F38" s="5">
        <f t="shared" si="3"/>
        <v>0</v>
      </c>
      <c r="G38" s="5">
        <f t="shared" si="3"/>
        <v>0</v>
      </c>
      <c r="H38" s="5"/>
      <c r="I38" s="5"/>
      <c r="J38" s="5"/>
      <c r="K38" s="5"/>
      <c r="L38" s="26">
        <f t="shared" si="2"/>
        <v>0</v>
      </c>
      <c r="M38" s="5"/>
      <c r="N38" s="5">
        <f t="shared" ref="N38:O38" si="4">SUM(N26:N37)</f>
        <v>0</v>
      </c>
      <c r="O38" s="5">
        <f t="shared" si="4"/>
        <v>0</v>
      </c>
    </row>
    <row r="44" spans="1:15" x14ac:dyDescent="0.2">
      <c r="A44" s="320" t="s">
        <v>22</v>
      </c>
      <c r="B44" s="321" t="s">
        <v>21</v>
      </c>
      <c r="C44" s="321"/>
      <c r="D44" s="317" t="s">
        <v>12</v>
      </c>
      <c r="E44" s="317"/>
      <c r="F44" s="317" t="s">
        <v>13</v>
      </c>
      <c r="G44" s="317"/>
      <c r="H44" s="318" t="s">
        <v>29</v>
      </c>
      <c r="I44" s="319"/>
      <c r="J44" s="335" t="s">
        <v>14</v>
      </c>
      <c r="K44" s="335"/>
      <c r="L44" s="335"/>
      <c r="M44" s="335"/>
      <c r="N44" s="322" t="s">
        <v>15</v>
      </c>
      <c r="O44" s="322"/>
    </row>
    <row r="45" spans="1:15" ht="14.25" x14ac:dyDescent="0.2">
      <c r="A45" s="320"/>
      <c r="B45" s="7" t="s">
        <v>16</v>
      </c>
      <c r="C45" s="7" t="s">
        <v>17</v>
      </c>
      <c r="D45" s="7" t="s">
        <v>16</v>
      </c>
      <c r="E45" s="7" t="s">
        <v>17</v>
      </c>
      <c r="F45" s="7" t="s">
        <v>16</v>
      </c>
      <c r="G45" s="7" t="s">
        <v>17</v>
      </c>
      <c r="H45" s="20" t="s">
        <v>18</v>
      </c>
      <c r="I45" s="20" t="s">
        <v>17</v>
      </c>
      <c r="J45" s="8" t="s">
        <v>18</v>
      </c>
      <c r="K45" s="8"/>
      <c r="L45" s="8"/>
      <c r="M45" s="8" t="s">
        <v>17</v>
      </c>
      <c r="N45" s="9" t="s">
        <v>23</v>
      </c>
      <c r="O45" s="9" t="s">
        <v>19</v>
      </c>
    </row>
    <row r="46" spans="1:15" x14ac:dyDescent="0.2">
      <c r="A46" s="3" t="s">
        <v>0</v>
      </c>
      <c r="B46" s="2">
        <f>D46+F46</f>
        <v>0</v>
      </c>
      <c r="C46" s="2">
        <f>E46+G46</f>
        <v>0</v>
      </c>
      <c r="D46" s="11">
        <f>D5*('Klimatické údaje 2019'!$D$15/'Klimatické údaje 2019'!$G$15)</f>
        <v>0</v>
      </c>
      <c r="E46" s="10">
        <f>D46*$E$18</f>
        <v>0</v>
      </c>
      <c r="F46" s="11">
        <f t="shared" ref="F46:G57" si="5">F5</f>
        <v>0</v>
      </c>
      <c r="G46" s="11">
        <f t="shared" si="5"/>
        <v>0</v>
      </c>
      <c r="H46" s="11"/>
      <c r="I46" s="11"/>
      <c r="J46" s="11">
        <f t="shared" ref="J46:J57" si="6">J5</f>
        <v>0</v>
      </c>
      <c r="K46" s="11"/>
      <c r="L46" s="11"/>
      <c r="M46" s="11">
        <f t="shared" ref="M46:O57" si="7">M5</f>
        <v>0</v>
      </c>
      <c r="N46" s="11">
        <f t="shared" si="7"/>
        <v>0</v>
      </c>
      <c r="O46" s="11">
        <f t="shared" si="7"/>
        <v>0</v>
      </c>
    </row>
    <row r="47" spans="1:15" x14ac:dyDescent="0.2">
      <c r="A47" s="3" t="s">
        <v>1</v>
      </c>
      <c r="B47" s="2">
        <f t="shared" ref="B47:C57" si="8">D47+F47</f>
        <v>0</v>
      </c>
      <c r="C47" s="2">
        <f t="shared" si="8"/>
        <v>0</v>
      </c>
      <c r="D47" s="11">
        <f>D6*('Klimatické údaje 2019'!$D$15/'Klimatické údaje 2019'!$G$15)</f>
        <v>0</v>
      </c>
      <c r="E47" s="10">
        <f t="shared" ref="E47:E57" si="9">D47*$E$18</f>
        <v>0</v>
      </c>
      <c r="F47" s="11">
        <f t="shared" si="5"/>
        <v>0</v>
      </c>
      <c r="G47" s="11">
        <f t="shared" si="5"/>
        <v>0</v>
      </c>
      <c r="H47" s="11"/>
      <c r="I47" s="11"/>
      <c r="J47" s="11">
        <f t="shared" si="6"/>
        <v>0</v>
      </c>
      <c r="K47" s="11"/>
      <c r="L47" s="11"/>
      <c r="M47" s="11">
        <f t="shared" si="7"/>
        <v>0</v>
      </c>
      <c r="N47" s="11">
        <f t="shared" si="7"/>
        <v>0</v>
      </c>
      <c r="O47" s="11">
        <f t="shared" si="7"/>
        <v>0</v>
      </c>
    </row>
    <row r="48" spans="1:15" x14ac:dyDescent="0.2">
      <c r="A48" s="3" t="s">
        <v>2</v>
      </c>
      <c r="B48" s="2">
        <f t="shared" si="8"/>
        <v>0</v>
      </c>
      <c r="C48" s="2">
        <f t="shared" si="8"/>
        <v>0</v>
      </c>
      <c r="D48" s="11">
        <f>D7*('Klimatické údaje 2019'!$D$15/'Klimatické údaje 2019'!$G$15)</f>
        <v>0</v>
      </c>
      <c r="E48" s="10">
        <f t="shared" si="9"/>
        <v>0</v>
      </c>
      <c r="F48" s="11">
        <f t="shared" si="5"/>
        <v>0</v>
      </c>
      <c r="G48" s="11">
        <f t="shared" si="5"/>
        <v>0</v>
      </c>
      <c r="H48" s="11"/>
      <c r="I48" s="11"/>
      <c r="J48" s="11">
        <f t="shared" si="6"/>
        <v>0</v>
      </c>
      <c r="K48" s="11"/>
      <c r="L48" s="11"/>
      <c r="M48" s="11">
        <f t="shared" si="7"/>
        <v>0</v>
      </c>
      <c r="N48" s="11">
        <f t="shared" si="7"/>
        <v>0</v>
      </c>
      <c r="O48" s="11">
        <f t="shared" si="7"/>
        <v>0</v>
      </c>
    </row>
    <row r="49" spans="1:15" x14ac:dyDescent="0.2">
      <c r="A49" s="3" t="s">
        <v>3</v>
      </c>
      <c r="B49" s="2">
        <f t="shared" si="8"/>
        <v>0</v>
      </c>
      <c r="C49" s="2">
        <f t="shared" si="8"/>
        <v>0</v>
      </c>
      <c r="D49" s="11">
        <f>D8*('Klimatické údaje 2019'!$D$15/'Klimatické údaje 2019'!$G$15)</f>
        <v>0</v>
      </c>
      <c r="E49" s="10">
        <f t="shared" si="9"/>
        <v>0</v>
      </c>
      <c r="F49" s="11">
        <f t="shared" si="5"/>
        <v>0</v>
      </c>
      <c r="G49" s="11">
        <f t="shared" si="5"/>
        <v>0</v>
      </c>
      <c r="H49" s="11"/>
      <c r="I49" s="11"/>
      <c r="J49" s="11">
        <f t="shared" si="6"/>
        <v>0</v>
      </c>
      <c r="K49" s="11"/>
      <c r="L49" s="11"/>
      <c r="M49" s="11">
        <f t="shared" si="7"/>
        <v>0</v>
      </c>
      <c r="N49" s="11">
        <f t="shared" si="7"/>
        <v>0</v>
      </c>
      <c r="O49" s="11">
        <f t="shared" si="7"/>
        <v>0</v>
      </c>
    </row>
    <row r="50" spans="1:15" x14ac:dyDescent="0.2">
      <c r="A50" s="3" t="s">
        <v>4</v>
      </c>
      <c r="B50" s="2">
        <f t="shared" si="8"/>
        <v>0</v>
      </c>
      <c r="C50" s="2">
        <f t="shared" si="8"/>
        <v>0</v>
      </c>
      <c r="D50" s="11">
        <f>D9*('Klimatické údaje 2019'!$D$15/'Klimatické údaje 2019'!$G$15)</f>
        <v>0</v>
      </c>
      <c r="E50" s="10">
        <f t="shared" si="9"/>
        <v>0</v>
      </c>
      <c r="F50" s="11">
        <f t="shared" si="5"/>
        <v>0</v>
      </c>
      <c r="G50" s="11">
        <f t="shared" si="5"/>
        <v>0</v>
      </c>
      <c r="H50" s="11"/>
      <c r="I50" s="11"/>
      <c r="J50" s="11">
        <f t="shared" si="6"/>
        <v>0</v>
      </c>
      <c r="K50" s="11"/>
      <c r="L50" s="11"/>
      <c r="M50" s="11">
        <f t="shared" si="7"/>
        <v>0</v>
      </c>
      <c r="N50" s="11">
        <f t="shared" si="7"/>
        <v>0</v>
      </c>
      <c r="O50" s="11">
        <f t="shared" si="7"/>
        <v>0</v>
      </c>
    </row>
    <row r="51" spans="1:15" x14ac:dyDescent="0.2">
      <c r="A51" s="3" t="s">
        <v>5</v>
      </c>
      <c r="B51" s="2">
        <f t="shared" si="8"/>
        <v>0</v>
      </c>
      <c r="C51" s="2">
        <f t="shared" si="8"/>
        <v>0</v>
      </c>
      <c r="D51" s="11">
        <f>D10*('Klimatické údaje 2019'!$D$15/'Klimatické údaje 2019'!$G$15)</f>
        <v>0</v>
      </c>
      <c r="E51" s="10">
        <f t="shared" si="9"/>
        <v>0</v>
      </c>
      <c r="F51" s="11">
        <f t="shared" si="5"/>
        <v>0</v>
      </c>
      <c r="G51" s="11">
        <f t="shared" si="5"/>
        <v>0</v>
      </c>
      <c r="H51" s="11"/>
      <c r="I51" s="11"/>
      <c r="J51" s="11">
        <f t="shared" si="6"/>
        <v>0</v>
      </c>
      <c r="K51" s="11"/>
      <c r="L51" s="11"/>
      <c r="M51" s="11">
        <f t="shared" si="7"/>
        <v>0</v>
      </c>
      <c r="N51" s="11">
        <f t="shared" si="7"/>
        <v>0</v>
      </c>
      <c r="O51" s="11">
        <f t="shared" si="7"/>
        <v>0</v>
      </c>
    </row>
    <row r="52" spans="1:15" x14ac:dyDescent="0.2">
      <c r="A52" s="3" t="s">
        <v>6</v>
      </c>
      <c r="B52" s="2">
        <f t="shared" si="8"/>
        <v>0</v>
      </c>
      <c r="C52" s="2">
        <f t="shared" si="8"/>
        <v>0</v>
      </c>
      <c r="D52" s="11">
        <f>D11*('Klimatické údaje 2019'!$D$15/'Klimatické údaje 2019'!$G$15)</f>
        <v>0</v>
      </c>
      <c r="E52" s="10">
        <f t="shared" si="9"/>
        <v>0</v>
      </c>
      <c r="F52" s="11">
        <f t="shared" si="5"/>
        <v>0</v>
      </c>
      <c r="G52" s="11">
        <f t="shared" si="5"/>
        <v>0</v>
      </c>
      <c r="H52" s="11"/>
      <c r="I52" s="11"/>
      <c r="J52" s="11">
        <f t="shared" si="6"/>
        <v>0</v>
      </c>
      <c r="K52" s="11"/>
      <c r="L52" s="11"/>
      <c r="M52" s="11">
        <f t="shared" si="7"/>
        <v>0</v>
      </c>
      <c r="N52" s="11">
        <f t="shared" si="7"/>
        <v>0</v>
      </c>
      <c r="O52" s="11">
        <f t="shared" si="7"/>
        <v>0</v>
      </c>
    </row>
    <row r="53" spans="1:15" x14ac:dyDescent="0.2">
      <c r="A53" s="3" t="s">
        <v>7</v>
      </c>
      <c r="B53" s="2">
        <f t="shared" si="8"/>
        <v>0</v>
      </c>
      <c r="C53" s="2">
        <f t="shared" si="8"/>
        <v>0</v>
      </c>
      <c r="D53" s="11">
        <f>D12*('Klimatické údaje 2019'!$D$15/'Klimatické údaje 2019'!$G$15)</f>
        <v>0</v>
      </c>
      <c r="E53" s="10">
        <f t="shared" si="9"/>
        <v>0</v>
      </c>
      <c r="F53" s="11">
        <f t="shared" si="5"/>
        <v>0</v>
      </c>
      <c r="G53" s="11">
        <f t="shared" si="5"/>
        <v>0</v>
      </c>
      <c r="H53" s="11"/>
      <c r="I53" s="11"/>
      <c r="J53" s="11">
        <f t="shared" si="6"/>
        <v>0</v>
      </c>
      <c r="K53" s="11"/>
      <c r="L53" s="11"/>
      <c r="M53" s="11">
        <f t="shared" si="7"/>
        <v>0</v>
      </c>
      <c r="N53" s="11">
        <f t="shared" si="7"/>
        <v>0</v>
      </c>
      <c r="O53" s="11">
        <f t="shared" si="7"/>
        <v>0</v>
      </c>
    </row>
    <row r="54" spans="1:15" x14ac:dyDescent="0.2">
      <c r="A54" s="3" t="s">
        <v>8</v>
      </c>
      <c r="B54" s="2">
        <f t="shared" si="8"/>
        <v>0</v>
      </c>
      <c r="C54" s="2">
        <f t="shared" si="8"/>
        <v>0</v>
      </c>
      <c r="D54" s="11">
        <f>D13*('Klimatické údaje 2019'!$D$15/'Klimatické údaje 2019'!$G$15)</f>
        <v>0</v>
      </c>
      <c r="E54" s="10">
        <f t="shared" si="9"/>
        <v>0</v>
      </c>
      <c r="F54" s="11">
        <f t="shared" si="5"/>
        <v>0</v>
      </c>
      <c r="G54" s="11">
        <f t="shared" si="5"/>
        <v>0</v>
      </c>
      <c r="H54" s="11"/>
      <c r="I54" s="11"/>
      <c r="J54" s="11">
        <f t="shared" si="6"/>
        <v>0</v>
      </c>
      <c r="K54" s="11"/>
      <c r="L54" s="11"/>
      <c r="M54" s="11">
        <f t="shared" si="7"/>
        <v>0</v>
      </c>
      <c r="N54" s="11">
        <f t="shared" si="7"/>
        <v>0</v>
      </c>
      <c r="O54" s="11">
        <f t="shared" si="7"/>
        <v>0</v>
      </c>
    </row>
    <row r="55" spans="1:15" x14ac:dyDescent="0.2">
      <c r="A55" s="3" t="s">
        <v>9</v>
      </c>
      <c r="B55" s="2">
        <f t="shared" si="8"/>
        <v>0</v>
      </c>
      <c r="C55" s="2">
        <f t="shared" si="8"/>
        <v>0</v>
      </c>
      <c r="D55" s="11">
        <f>D14*('Klimatické údaje 2019'!$D$15/'Klimatické údaje 2019'!$G$15)</f>
        <v>0</v>
      </c>
      <c r="E55" s="10">
        <f t="shared" si="9"/>
        <v>0</v>
      </c>
      <c r="F55" s="11">
        <f t="shared" si="5"/>
        <v>0</v>
      </c>
      <c r="G55" s="11">
        <f t="shared" si="5"/>
        <v>0</v>
      </c>
      <c r="H55" s="11"/>
      <c r="I55" s="11"/>
      <c r="J55" s="11">
        <f t="shared" si="6"/>
        <v>0</v>
      </c>
      <c r="K55" s="11"/>
      <c r="L55" s="11"/>
      <c r="M55" s="11">
        <f t="shared" si="7"/>
        <v>0</v>
      </c>
      <c r="N55" s="11">
        <f t="shared" si="7"/>
        <v>0</v>
      </c>
      <c r="O55" s="11">
        <f t="shared" si="7"/>
        <v>0</v>
      </c>
    </row>
    <row r="56" spans="1:15" x14ac:dyDescent="0.2">
      <c r="A56" s="3" t="s">
        <v>10</v>
      </c>
      <c r="B56" s="2">
        <f t="shared" si="8"/>
        <v>0</v>
      </c>
      <c r="C56" s="2">
        <f t="shared" si="8"/>
        <v>0</v>
      </c>
      <c r="D56" s="11">
        <f>D15*('Klimatické údaje 2019'!$D$15/'Klimatické údaje 2019'!$G$15)</f>
        <v>0</v>
      </c>
      <c r="E56" s="10">
        <f t="shared" si="9"/>
        <v>0</v>
      </c>
      <c r="F56" s="11">
        <f t="shared" si="5"/>
        <v>0</v>
      </c>
      <c r="G56" s="11">
        <f t="shared" si="5"/>
        <v>0</v>
      </c>
      <c r="H56" s="11"/>
      <c r="I56" s="11"/>
      <c r="J56" s="11">
        <f t="shared" si="6"/>
        <v>0</v>
      </c>
      <c r="K56" s="11"/>
      <c r="L56" s="11"/>
      <c r="M56" s="11">
        <f t="shared" si="7"/>
        <v>0</v>
      </c>
      <c r="N56" s="11">
        <f t="shared" si="7"/>
        <v>0</v>
      </c>
      <c r="O56" s="11">
        <f t="shared" si="7"/>
        <v>0</v>
      </c>
    </row>
    <row r="57" spans="1:15" x14ac:dyDescent="0.2">
      <c r="A57" s="3" t="s">
        <v>11</v>
      </c>
      <c r="B57" s="2">
        <f t="shared" si="8"/>
        <v>0</v>
      </c>
      <c r="C57" s="2">
        <f t="shared" si="8"/>
        <v>0</v>
      </c>
      <c r="D57" s="11">
        <f>D16*('Klimatické údaje 2019'!$D$15/'Klimatické údaje 2019'!$G$15)</f>
        <v>0</v>
      </c>
      <c r="E57" s="10">
        <f t="shared" si="9"/>
        <v>0</v>
      </c>
      <c r="F57" s="11">
        <f t="shared" si="5"/>
        <v>0</v>
      </c>
      <c r="G57" s="11">
        <f t="shared" si="5"/>
        <v>0</v>
      </c>
      <c r="H57" s="11"/>
      <c r="I57" s="11"/>
      <c r="J57" s="11">
        <f t="shared" si="6"/>
        <v>0</v>
      </c>
      <c r="K57" s="11"/>
      <c r="L57" s="11"/>
      <c r="M57" s="11">
        <f t="shared" si="7"/>
        <v>0</v>
      </c>
      <c r="N57" s="11">
        <f t="shared" si="7"/>
        <v>0</v>
      </c>
      <c r="O57" s="11">
        <f t="shared" si="7"/>
        <v>0</v>
      </c>
    </row>
    <row r="58" spans="1:15" x14ac:dyDescent="0.2">
      <c r="A58" s="4" t="s">
        <v>20</v>
      </c>
      <c r="B58" s="5">
        <f>SUM(B46:B57)</f>
        <v>0</v>
      </c>
      <c r="C58" s="5">
        <f t="shared" ref="C58:O58" si="10">SUM(C46:C57)</f>
        <v>0</v>
      </c>
      <c r="D58" s="5">
        <f t="shared" si="10"/>
        <v>0</v>
      </c>
      <c r="E58" s="5">
        <f t="shared" si="10"/>
        <v>0</v>
      </c>
      <c r="F58" s="5">
        <f t="shared" si="10"/>
        <v>0</v>
      </c>
      <c r="G58" s="5">
        <f t="shared" si="10"/>
        <v>0</v>
      </c>
      <c r="H58" s="5"/>
      <c r="I58" s="5"/>
      <c r="J58" s="5">
        <f t="shared" si="10"/>
        <v>0</v>
      </c>
      <c r="K58" s="5"/>
      <c r="L58" s="5"/>
      <c r="M58" s="5">
        <f t="shared" si="10"/>
        <v>0</v>
      </c>
      <c r="N58" s="5">
        <f t="shared" si="10"/>
        <v>0</v>
      </c>
      <c r="O58" s="5">
        <f t="shared" si="10"/>
        <v>0</v>
      </c>
    </row>
  </sheetData>
  <mergeCells count="33">
    <mergeCell ref="A2:A4"/>
    <mergeCell ref="B2:C2"/>
    <mergeCell ref="D2:E2"/>
    <mergeCell ref="F2:G2"/>
    <mergeCell ref="H2:I2"/>
    <mergeCell ref="N2:O2"/>
    <mergeCell ref="B3:C3"/>
    <mergeCell ref="D3:E3"/>
    <mergeCell ref="F3:G3"/>
    <mergeCell ref="H3:I3"/>
    <mergeCell ref="J3:M3"/>
    <mergeCell ref="N3:O3"/>
    <mergeCell ref="J2:M2"/>
    <mergeCell ref="A23:A25"/>
    <mergeCell ref="B23:C23"/>
    <mergeCell ref="D23:E23"/>
    <mergeCell ref="F23:G23"/>
    <mergeCell ref="H23:I23"/>
    <mergeCell ref="N23:O23"/>
    <mergeCell ref="B24:C24"/>
    <mergeCell ref="D24:E24"/>
    <mergeCell ref="F24:G24"/>
    <mergeCell ref="H24:I24"/>
    <mergeCell ref="J24:M24"/>
    <mergeCell ref="N24:O24"/>
    <mergeCell ref="J23:M23"/>
    <mergeCell ref="N44:O44"/>
    <mergeCell ref="A44:A45"/>
    <mergeCell ref="B44:C44"/>
    <mergeCell ref="D44:E44"/>
    <mergeCell ref="F44:G44"/>
    <mergeCell ref="H44:I44"/>
    <mergeCell ref="J44:M44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008E7-8FE8-4848-949B-2897A77AAF24}">
  <dimension ref="A1:S58"/>
  <sheetViews>
    <sheetView topLeftCell="A28" workbookViewId="0">
      <selection activeCell="A44" sqref="A44:S59"/>
    </sheetView>
  </sheetViews>
  <sheetFormatPr defaultRowHeight="12.75" x14ac:dyDescent="0.2"/>
  <cols>
    <col min="1" max="1" width="12.7109375" customWidth="1"/>
    <col min="2" max="7" width="11.7109375" hidden="1" customWidth="1"/>
    <col min="8" max="9" width="11.7109375" customWidth="1"/>
    <col min="10" max="10" width="13.7109375" customWidth="1"/>
    <col min="11" max="14" width="11.7109375" customWidth="1"/>
    <col min="15" max="15" width="19.140625" customWidth="1"/>
    <col min="16" max="19" width="11.7109375" customWidth="1"/>
  </cols>
  <sheetData>
    <row r="1" spans="1:19" ht="15" x14ac:dyDescent="0.2">
      <c r="A1" s="21" t="s">
        <v>168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57" t="s">
        <v>33</v>
      </c>
      <c r="R1" s="15"/>
      <c r="S1" s="57"/>
    </row>
    <row r="2" spans="1:19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304"/>
      <c r="L2" s="305"/>
      <c r="M2" s="305"/>
      <c r="N2" s="306"/>
      <c r="O2" s="60"/>
      <c r="P2" s="322"/>
      <c r="Q2" s="322"/>
      <c r="R2" s="322"/>
      <c r="S2" s="322"/>
    </row>
    <row r="3" spans="1:19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49</v>
      </c>
      <c r="K3" s="304" t="s">
        <v>14</v>
      </c>
      <c r="L3" s="305"/>
      <c r="M3" s="305"/>
      <c r="N3" s="306"/>
      <c r="O3" s="60" t="s">
        <v>49</v>
      </c>
      <c r="P3" s="322" t="s">
        <v>50</v>
      </c>
      <c r="Q3" s="322"/>
      <c r="R3" s="322" t="s">
        <v>51</v>
      </c>
      <c r="S3" s="322"/>
    </row>
    <row r="4" spans="1:19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8" t="s">
        <v>35</v>
      </c>
      <c r="L4" s="8" t="s">
        <v>36</v>
      </c>
      <c r="M4" s="8" t="s">
        <v>37</v>
      </c>
      <c r="N4" s="8" t="s">
        <v>17</v>
      </c>
      <c r="O4" s="8"/>
      <c r="P4" s="9" t="s">
        <v>23</v>
      </c>
      <c r="Q4" s="9" t="s">
        <v>24</v>
      </c>
      <c r="R4" s="9" t="s">
        <v>23</v>
      </c>
      <c r="S4" s="9" t="s">
        <v>24</v>
      </c>
    </row>
    <row r="5" spans="1:19" x14ac:dyDescent="0.2">
      <c r="A5" s="3" t="s">
        <v>0</v>
      </c>
      <c r="B5" s="46">
        <f>D5+F5</f>
        <v>0</v>
      </c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47">
        <v>18716.61</v>
      </c>
      <c r="I5" s="246">
        <v>13862.49</v>
      </c>
      <c r="J5" s="248"/>
      <c r="K5" s="293">
        <v>2261</v>
      </c>
      <c r="L5" s="293">
        <v>368</v>
      </c>
      <c r="M5" s="293">
        <f>K5+L5</f>
        <v>2629</v>
      </c>
      <c r="N5" s="293">
        <v>9357.82</v>
      </c>
      <c r="O5" s="249"/>
      <c r="P5" s="329">
        <v>315</v>
      </c>
      <c r="Q5" s="329">
        <f>P5*36.2</f>
        <v>11403</v>
      </c>
      <c r="R5" s="329">
        <v>315</v>
      </c>
      <c r="S5" s="329">
        <f>R5*31.74</f>
        <v>9998.1</v>
      </c>
    </row>
    <row r="6" spans="1:19" x14ac:dyDescent="0.2">
      <c r="A6" s="3" t="s">
        <v>1</v>
      </c>
      <c r="B6" s="46">
        <f t="shared" ref="B6:C16" si="0">D6+F6</f>
        <v>0</v>
      </c>
      <c r="C6" s="2">
        <f t="shared" si="0"/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47">
        <f>12543.88+2271.9</f>
        <v>14815.779999999999</v>
      </c>
      <c r="I6" s="246">
        <f>9409.52+1699.18</f>
        <v>11108.7</v>
      </c>
      <c r="J6" s="248"/>
      <c r="K6" s="294"/>
      <c r="L6" s="294"/>
      <c r="M6" s="294"/>
      <c r="N6" s="294"/>
      <c r="O6" s="250" t="s">
        <v>39</v>
      </c>
      <c r="P6" s="330"/>
      <c r="Q6" s="330"/>
      <c r="R6" s="330"/>
      <c r="S6" s="330"/>
    </row>
    <row r="7" spans="1:19" x14ac:dyDescent="0.2">
      <c r="A7" s="3" t="s">
        <v>2</v>
      </c>
      <c r="B7" s="46">
        <f t="shared" si="0"/>
        <v>0</v>
      </c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47">
        <v>11407.39</v>
      </c>
      <c r="I7" s="246">
        <v>8720.0300000000007</v>
      </c>
      <c r="J7" s="248"/>
      <c r="K7" s="295"/>
      <c r="L7" s="295"/>
      <c r="M7" s="295"/>
      <c r="N7" s="295"/>
      <c r="O7" s="251"/>
      <c r="P7" s="330"/>
      <c r="Q7" s="330"/>
      <c r="R7" s="330"/>
      <c r="S7" s="330"/>
    </row>
    <row r="8" spans="1:19" x14ac:dyDescent="0.2">
      <c r="A8" s="3" t="s">
        <v>3</v>
      </c>
      <c r="B8" s="46">
        <f t="shared" si="0"/>
        <v>0</v>
      </c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47">
        <v>6436.57</v>
      </c>
      <c r="I8" s="246">
        <v>5242.33</v>
      </c>
      <c r="J8" s="248"/>
      <c r="K8" s="293">
        <v>5776</v>
      </c>
      <c r="L8" s="326">
        <v>990</v>
      </c>
      <c r="M8" s="293">
        <f>K8+L9</f>
        <v>5776</v>
      </c>
      <c r="N8" s="293">
        <v>24664.81</v>
      </c>
      <c r="O8" s="251"/>
      <c r="P8" s="330"/>
      <c r="Q8" s="330"/>
      <c r="R8" s="330"/>
      <c r="S8" s="330"/>
    </row>
    <row r="9" spans="1:19" x14ac:dyDescent="0.2">
      <c r="A9" s="3" t="s">
        <v>4</v>
      </c>
      <c r="B9" s="46">
        <f t="shared" si="0"/>
        <v>0</v>
      </c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47">
        <v>5448.78</v>
      </c>
      <c r="I9" s="246">
        <v>4551.25</v>
      </c>
      <c r="J9" s="248"/>
      <c r="K9" s="294"/>
      <c r="L9" s="327"/>
      <c r="M9" s="294"/>
      <c r="N9" s="294"/>
      <c r="O9" s="251"/>
      <c r="P9" s="330"/>
      <c r="Q9" s="330"/>
      <c r="R9" s="330"/>
      <c r="S9" s="330"/>
    </row>
    <row r="10" spans="1:19" x14ac:dyDescent="0.2">
      <c r="A10" s="3" t="s">
        <v>5</v>
      </c>
      <c r="B10" s="46">
        <f t="shared" si="0"/>
        <v>0</v>
      </c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47">
        <v>987.79</v>
      </c>
      <c r="I10" s="246">
        <v>1430.26</v>
      </c>
      <c r="J10" s="248"/>
      <c r="K10" s="294"/>
      <c r="L10" s="327"/>
      <c r="M10" s="294"/>
      <c r="N10" s="294"/>
      <c r="O10" s="251"/>
      <c r="P10" s="330"/>
      <c r="Q10" s="330"/>
      <c r="R10" s="330"/>
      <c r="S10" s="330"/>
    </row>
    <row r="11" spans="1:19" x14ac:dyDescent="0.2">
      <c r="A11" s="3" t="s">
        <v>6</v>
      </c>
      <c r="B11" s="46">
        <f t="shared" si="0"/>
        <v>0</v>
      </c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47">
        <v>1210.8399999999999</v>
      </c>
      <c r="I11" s="246">
        <v>1586.31</v>
      </c>
      <c r="J11" s="248"/>
      <c r="K11" s="294"/>
      <c r="L11" s="327"/>
      <c r="M11" s="294"/>
      <c r="N11" s="294"/>
      <c r="O11" s="251"/>
      <c r="P11" s="330"/>
      <c r="Q11" s="330"/>
      <c r="R11" s="330"/>
      <c r="S11" s="330"/>
    </row>
    <row r="12" spans="1:19" x14ac:dyDescent="0.2">
      <c r="A12" s="3" t="s">
        <v>7</v>
      </c>
      <c r="B12" s="46">
        <f t="shared" si="0"/>
        <v>0</v>
      </c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47">
        <v>1136.49</v>
      </c>
      <c r="I12" s="246">
        <v>1534.3</v>
      </c>
      <c r="J12" s="248"/>
      <c r="K12" s="294"/>
      <c r="L12" s="327"/>
      <c r="M12" s="294"/>
      <c r="N12" s="294"/>
      <c r="O12" s="250" t="s">
        <v>41</v>
      </c>
      <c r="P12" s="330"/>
      <c r="Q12" s="330"/>
      <c r="R12" s="330"/>
      <c r="S12" s="330"/>
    </row>
    <row r="13" spans="1:19" x14ac:dyDescent="0.2">
      <c r="A13" s="3" t="s">
        <v>8</v>
      </c>
      <c r="B13" s="46">
        <f t="shared" si="0"/>
        <v>0</v>
      </c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47">
        <v>2729.7</v>
      </c>
      <c r="I13" s="246">
        <v>2648.93</v>
      </c>
      <c r="J13" s="248"/>
      <c r="K13" s="294"/>
      <c r="L13" s="327"/>
      <c r="M13" s="294"/>
      <c r="N13" s="294"/>
      <c r="O13" s="251"/>
      <c r="P13" s="330"/>
      <c r="Q13" s="330"/>
      <c r="R13" s="330"/>
      <c r="S13" s="330"/>
    </row>
    <row r="14" spans="1:19" x14ac:dyDescent="0.2">
      <c r="A14" s="3" t="s">
        <v>9</v>
      </c>
      <c r="B14" s="46">
        <f t="shared" si="0"/>
        <v>0</v>
      </c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47">
        <v>5746.18</v>
      </c>
      <c r="I14" s="246">
        <v>4759.32</v>
      </c>
      <c r="J14" s="248"/>
      <c r="K14" s="294"/>
      <c r="L14" s="327"/>
      <c r="M14" s="294"/>
      <c r="N14" s="294"/>
      <c r="O14" s="252"/>
      <c r="P14" s="330"/>
      <c r="Q14" s="330"/>
      <c r="R14" s="330"/>
      <c r="S14" s="330"/>
    </row>
    <row r="15" spans="1:19" x14ac:dyDescent="0.2">
      <c r="A15" s="3" t="s">
        <v>10</v>
      </c>
      <c r="B15" s="46">
        <f t="shared" si="0"/>
        <v>0</v>
      </c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47">
        <v>10876.32</v>
      </c>
      <c r="I15" s="246">
        <v>8348.48</v>
      </c>
      <c r="J15" s="248"/>
      <c r="K15" s="294"/>
      <c r="L15" s="327"/>
      <c r="M15" s="294"/>
      <c r="N15" s="294"/>
      <c r="O15" s="252"/>
      <c r="P15" s="330"/>
      <c r="Q15" s="330"/>
      <c r="R15" s="330"/>
      <c r="S15" s="330"/>
    </row>
    <row r="16" spans="1:19" x14ac:dyDescent="0.2">
      <c r="A16" s="3" t="s">
        <v>11</v>
      </c>
      <c r="B16" s="46">
        <f t="shared" si="0"/>
        <v>0</v>
      </c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47">
        <v>15571.01</v>
      </c>
      <c r="I16" s="246">
        <v>11632.96</v>
      </c>
      <c r="J16" s="248"/>
      <c r="K16" s="294"/>
      <c r="L16" s="327"/>
      <c r="M16" s="294"/>
      <c r="N16" s="294"/>
      <c r="O16" s="252"/>
      <c r="P16" s="331"/>
      <c r="Q16" s="331"/>
      <c r="R16" s="331"/>
      <c r="S16" s="331"/>
    </row>
    <row r="17" spans="1:19" x14ac:dyDescent="0.2">
      <c r="A17" s="4" t="s">
        <v>20</v>
      </c>
      <c r="B17" s="53">
        <f>SUM(B5:B16)</f>
        <v>0</v>
      </c>
      <c r="C17" s="5">
        <f t="shared" ref="C17:N17" si="3">SUM(C5:C16)</f>
        <v>0</v>
      </c>
      <c r="D17" s="53">
        <f t="shared" si="3"/>
        <v>0</v>
      </c>
      <c r="E17" s="5">
        <f t="shared" si="3"/>
        <v>0</v>
      </c>
      <c r="F17" s="5">
        <f t="shared" si="3"/>
        <v>0</v>
      </c>
      <c r="G17" s="5">
        <f t="shared" si="3"/>
        <v>0</v>
      </c>
      <c r="H17" s="253">
        <f t="shared" si="3"/>
        <v>95083.459999999977</v>
      </c>
      <c r="I17" s="253">
        <f t="shared" si="3"/>
        <v>75425.360000000015</v>
      </c>
      <c r="J17" s="253"/>
      <c r="K17" s="253">
        <f t="shared" si="3"/>
        <v>8037</v>
      </c>
      <c r="L17" s="253">
        <f t="shared" si="3"/>
        <v>1358</v>
      </c>
      <c r="M17" s="253">
        <f t="shared" si="3"/>
        <v>8405</v>
      </c>
      <c r="N17" s="253">
        <f t="shared" si="3"/>
        <v>34022.630000000005</v>
      </c>
      <c r="O17" s="253"/>
      <c r="P17" s="253">
        <f t="shared" ref="P17:S17" si="4">SUM(P5:P16)</f>
        <v>315</v>
      </c>
      <c r="Q17" s="253">
        <f t="shared" si="4"/>
        <v>11403</v>
      </c>
      <c r="R17" s="253">
        <f t="shared" si="4"/>
        <v>315</v>
      </c>
      <c r="S17" s="253">
        <f t="shared" si="4"/>
        <v>9998.1</v>
      </c>
    </row>
    <row r="18" spans="1:19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29"/>
      <c r="L18" s="29"/>
      <c r="M18" s="29"/>
      <c r="N18" s="32"/>
      <c r="O18" s="32"/>
      <c r="P18" s="27"/>
      <c r="Q18" s="32"/>
      <c r="R18" s="27"/>
      <c r="S18" s="32"/>
    </row>
    <row r="19" spans="1:19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3" spans="1:19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304"/>
      <c r="L23" s="305"/>
      <c r="M23" s="305"/>
      <c r="N23" s="306"/>
      <c r="O23" s="60"/>
      <c r="P23" s="322"/>
      <c r="Q23" s="322"/>
      <c r="R23" s="322"/>
      <c r="S23" s="322"/>
    </row>
    <row r="24" spans="1:19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 t="s">
        <v>52</v>
      </c>
      <c r="K24" s="304" t="s">
        <v>14</v>
      </c>
      <c r="L24" s="305"/>
      <c r="M24" s="305"/>
      <c r="N24" s="306"/>
      <c r="O24" s="60" t="s">
        <v>52</v>
      </c>
      <c r="P24" s="322" t="s">
        <v>50</v>
      </c>
      <c r="Q24" s="322"/>
      <c r="R24" s="322" t="s">
        <v>51</v>
      </c>
      <c r="S24" s="322"/>
    </row>
    <row r="25" spans="1:19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8" t="s">
        <v>35</v>
      </c>
      <c r="L25" s="8" t="s">
        <v>36</v>
      </c>
      <c r="M25" s="8" t="s">
        <v>37</v>
      </c>
      <c r="N25" s="8" t="s">
        <v>17</v>
      </c>
      <c r="O25" s="8"/>
      <c r="P25" s="9" t="s">
        <v>23</v>
      </c>
      <c r="Q25" s="9" t="s">
        <v>24</v>
      </c>
      <c r="R25" s="9" t="s">
        <v>23</v>
      </c>
      <c r="S25" s="9" t="s">
        <v>24</v>
      </c>
    </row>
    <row r="26" spans="1:19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69">
        <v>23977.59</v>
      </c>
      <c r="I26">
        <v>17561.64</v>
      </c>
      <c r="J26" s="72"/>
      <c r="K26" s="311">
        <v>2219</v>
      </c>
      <c r="L26" s="311">
        <v>514</v>
      </c>
      <c r="M26" s="311">
        <f>K26+L26</f>
        <v>2733</v>
      </c>
      <c r="N26" s="346">
        <f>7009.27+4541.32</f>
        <v>11550.59</v>
      </c>
      <c r="O26" s="83"/>
      <c r="P26" s="339">
        <v>67</v>
      </c>
      <c r="Q26" s="336">
        <f>P26*40.5</f>
        <v>2713.5</v>
      </c>
      <c r="R26" s="339">
        <v>67</v>
      </c>
      <c r="S26" s="336">
        <f>R26*34.98</f>
        <v>2343.66</v>
      </c>
    </row>
    <row r="27" spans="1:19" x14ac:dyDescent="0.2">
      <c r="A27" s="3" t="s">
        <v>1</v>
      </c>
      <c r="B27" s="46">
        <f t="shared" ref="B27:C37" si="5">D27+F27</f>
        <v>0</v>
      </c>
      <c r="C27" s="2">
        <f t="shared" si="5"/>
        <v>0</v>
      </c>
      <c r="D27" s="52"/>
      <c r="E27" s="16">
        <f t="shared" ref="E27:E37" si="6">D27*513.8</f>
        <v>0</v>
      </c>
      <c r="F27" s="2">
        <v>0</v>
      </c>
      <c r="G27" s="2">
        <f t="shared" ref="G27:G37" si="7">F27*336.1423</f>
        <v>0</v>
      </c>
      <c r="H27" s="69">
        <f>3177.88+12378.11</f>
        <v>15555.990000000002</v>
      </c>
      <c r="I27" s="342">
        <f>2385.5+76193.4</f>
        <v>78578.899999999994</v>
      </c>
      <c r="J27" s="73"/>
      <c r="K27" s="312"/>
      <c r="L27" s="312"/>
      <c r="M27" s="312"/>
      <c r="N27" s="347"/>
      <c r="O27" s="68" t="s">
        <v>44</v>
      </c>
      <c r="P27" s="340"/>
      <c r="Q27" s="337"/>
      <c r="R27" s="340"/>
      <c r="S27" s="337"/>
    </row>
    <row r="28" spans="1:19" x14ac:dyDescent="0.2">
      <c r="A28" s="3" t="s">
        <v>2</v>
      </c>
      <c r="B28" s="46">
        <f t="shared" si="5"/>
        <v>0</v>
      </c>
      <c r="C28" s="2">
        <f t="shared" si="5"/>
        <v>0</v>
      </c>
      <c r="D28" s="52"/>
      <c r="E28" s="16">
        <f t="shared" si="6"/>
        <v>0</v>
      </c>
      <c r="F28" s="2">
        <v>0</v>
      </c>
      <c r="G28" s="2">
        <f t="shared" si="7"/>
        <v>0</v>
      </c>
      <c r="H28" s="69">
        <v>16075.6</v>
      </c>
      <c r="I28" s="343"/>
      <c r="J28" s="73"/>
      <c r="K28" s="345"/>
      <c r="L28" s="345"/>
      <c r="M28" s="345"/>
      <c r="N28" s="348"/>
      <c r="P28" s="340"/>
      <c r="Q28" s="337"/>
      <c r="R28" s="340"/>
      <c r="S28" s="337"/>
    </row>
    <row r="29" spans="1:19" x14ac:dyDescent="0.2">
      <c r="A29" s="3" t="s">
        <v>3</v>
      </c>
      <c r="B29" s="46">
        <f t="shared" si="5"/>
        <v>0</v>
      </c>
      <c r="C29" s="2">
        <f t="shared" si="5"/>
        <v>0</v>
      </c>
      <c r="D29" s="52"/>
      <c r="E29" s="16">
        <f t="shared" si="6"/>
        <v>0</v>
      </c>
      <c r="F29" s="2">
        <v>0</v>
      </c>
      <c r="G29" s="2">
        <f t="shared" si="7"/>
        <v>0</v>
      </c>
      <c r="H29" s="69">
        <v>8754.99</v>
      </c>
      <c r="I29" s="343"/>
      <c r="J29" s="73"/>
      <c r="K29" s="311">
        <v>4910</v>
      </c>
      <c r="L29" s="311">
        <v>1146</v>
      </c>
      <c r="M29" s="311">
        <f>K29+L30</f>
        <v>4910</v>
      </c>
      <c r="N29" s="346">
        <f>16141.56+10058.52</f>
        <v>26200.080000000002</v>
      </c>
      <c r="P29" s="341"/>
      <c r="Q29" s="338"/>
      <c r="R29" s="341"/>
      <c r="S29" s="338"/>
    </row>
    <row r="30" spans="1:19" x14ac:dyDescent="0.2">
      <c r="A30" s="3" t="s">
        <v>4</v>
      </c>
      <c r="B30" s="46">
        <f t="shared" si="5"/>
        <v>0</v>
      </c>
      <c r="C30" s="2">
        <f t="shared" si="5"/>
        <v>0</v>
      </c>
      <c r="D30" s="52"/>
      <c r="E30" s="16">
        <f t="shared" si="6"/>
        <v>0</v>
      </c>
      <c r="F30" s="2">
        <v>0</v>
      </c>
      <c r="G30" s="2">
        <f t="shared" si="7"/>
        <v>0</v>
      </c>
      <c r="H30" s="69">
        <v>5663.12</v>
      </c>
      <c r="I30" s="343"/>
      <c r="J30" s="73"/>
      <c r="K30" s="312"/>
      <c r="L30" s="312"/>
      <c r="M30" s="312"/>
      <c r="N30" s="347"/>
      <c r="P30" s="93"/>
      <c r="Q30" s="94">
        <f t="shared" ref="Q30:Q37" si="8">P30*58.26</f>
        <v>0</v>
      </c>
      <c r="R30" s="93"/>
      <c r="S30" s="94">
        <f t="shared" ref="S30:S37" si="9">R30*58.26</f>
        <v>0</v>
      </c>
    </row>
    <row r="31" spans="1:19" x14ac:dyDescent="0.2">
      <c r="A31" s="3" t="s">
        <v>5</v>
      </c>
      <c r="B31" s="46">
        <f t="shared" si="5"/>
        <v>0</v>
      </c>
      <c r="C31" s="2">
        <f t="shared" si="5"/>
        <v>0</v>
      </c>
      <c r="D31" s="52"/>
      <c r="E31" s="16">
        <f t="shared" si="6"/>
        <v>0</v>
      </c>
      <c r="F31" s="2">
        <v>0</v>
      </c>
      <c r="G31" s="2">
        <f t="shared" si="7"/>
        <v>0</v>
      </c>
      <c r="H31" s="69">
        <v>2401.25</v>
      </c>
      <c r="I31" s="343"/>
      <c r="J31" s="73"/>
      <c r="K31" s="312"/>
      <c r="L31" s="312"/>
      <c r="M31" s="312"/>
      <c r="N31" s="347"/>
      <c r="P31" s="93"/>
      <c r="Q31" s="94">
        <f t="shared" si="8"/>
        <v>0</v>
      </c>
      <c r="R31" s="93"/>
      <c r="S31" s="94">
        <f t="shared" si="9"/>
        <v>0</v>
      </c>
    </row>
    <row r="32" spans="1:19" x14ac:dyDescent="0.2">
      <c r="A32" s="3" t="s">
        <v>6</v>
      </c>
      <c r="B32" s="46">
        <f t="shared" si="5"/>
        <v>0</v>
      </c>
      <c r="C32" s="2">
        <f t="shared" si="5"/>
        <v>0</v>
      </c>
      <c r="D32" s="52"/>
      <c r="E32" s="16">
        <f t="shared" si="6"/>
        <v>0</v>
      </c>
      <c r="F32" s="2">
        <v>0</v>
      </c>
      <c r="G32" s="2">
        <f t="shared" si="7"/>
        <v>0</v>
      </c>
      <c r="H32" s="69">
        <v>1880.62</v>
      </c>
      <c r="I32" s="343"/>
      <c r="J32" s="73"/>
      <c r="K32" s="312"/>
      <c r="L32" s="312"/>
      <c r="M32" s="312"/>
      <c r="N32" s="347"/>
      <c r="P32" s="93"/>
      <c r="Q32" s="94">
        <f t="shared" si="8"/>
        <v>0</v>
      </c>
      <c r="R32" s="93"/>
      <c r="S32" s="94">
        <f t="shared" si="9"/>
        <v>0</v>
      </c>
    </row>
    <row r="33" spans="1:19" x14ac:dyDescent="0.2">
      <c r="A33" s="3" t="s">
        <v>7</v>
      </c>
      <c r="B33" s="46">
        <f t="shared" si="5"/>
        <v>0</v>
      </c>
      <c r="C33" s="2">
        <f t="shared" si="5"/>
        <v>0</v>
      </c>
      <c r="D33" s="52"/>
      <c r="E33" s="16">
        <f t="shared" si="6"/>
        <v>0</v>
      </c>
      <c r="F33" s="2">
        <v>0</v>
      </c>
      <c r="G33" s="2">
        <f t="shared" si="7"/>
        <v>0</v>
      </c>
      <c r="H33" s="69">
        <v>1604.37</v>
      </c>
      <c r="I33" s="343"/>
      <c r="J33" s="73"/>
      <c r="K33" s="312"/>
      <c r="L33" s="312"/>
      <c r="M33" s="312"/>
      <c r="N33" s="347"/>
      <c r="O33" s="68" t="s">
        <v>45</v>
      </c>
      <c r="P33" s="93"/>
      <c r="Q33" s="94">
        <f t="shared" si="8"/>
        <v>0</v>
      </c>
      <c r="R33" s="93"/>
      <c r="S33" s="94">
        <f t="shared" si="9"/>
        <v>0</v>
      </c>
    </row>
    <row r="34" spans="1:19" x14ac:dyDescent="0.2">
      <c r="A34" s="3" t="s">
        <v>8</v>
      </c>
      <c r="B34" s="46">
        <f t="shared" si="5"/>
        <v>0</v>
      </c>
      <c r="C34" s="2">
        <f t="shared" si="5"/>
        <v>0</v>
      </c>
      <c r="D34" s="52"/>
      <c r="E34" s="16">
        <f t="shared" si="6"/>
        <v>0</v>
      </c>
      <c r="F34" s="2">
        <v>0</v>
      </c>
      <c r="G34" s="2">
        <f t="shared" si="7"/>
        <v>0</v>
      </c>
      <c r="H34" s="69">
        <v>3123.75</v>
      </c>
      <c r="I34" s="343"/>
      <c r="J34" s="73"/>
      <c r="K34" s="312"/>
      <c r="L34" s="312"/>
      <c r="M34" s="312"/>
      <c r="N34" s="347"/>
      <c r="O34" s="84"/>
      <c r="P34" s="93"/>
      <c r="Q34" s="94">
        <f t="shared" si="8"/>
        <v>0</v>
      </c>
      <c r="R34" s="93"/>
      <c r="S34" s="94">
        <f t="shared" si="9"/>
        <v>0</v>
      </c>
    </row>
    <row r="35" spans="1:19" x14ac:dyDescent="0.2">
      <c r="A35" s="3" t="s">
        <v>9</v>
      </c>
      <c r="B35" s="46">
        <f t="shared" si="5"/>
        <v>0</v>
      </c>
      <c r="C35" s="2">
        <f t="shared" si="5"/>
        <v>0</v>
      </c>
      <c r="D35" s="52"/>
      <c r="E35" s="16">
        <f t="shared" si="6"/>
        <v>0</v>
      </c>
      <c r="F35" s="2">
        <v>0</v>
      </c>
      <c r="G35" s="2">
        <f t="shared" si="7"/>
        <v>0</v>
      </c>
      <c r="H35" s="69">
        <v>8531.86</v>
      </c>
      <c r="I35" s="343"/>
      <c r="J35" s="73"/>
      <c r="K35" s="312"/>
      <c r="L35" s="312"/>
      <c r="M35" s="312"/>
      <c r="N35" s="347"/>
      <c r="O35" s="84"/>
      <c r="P35" s="93"/>
      <c r="Q35" s="94">
        <f t="shared" si="8"/>
        <v>0</v>
      </c>
      <c r="R35" s="93"/>
      <c r="S35" s="94">
        <f t="shared" si="9"/>
        <v>0</v>
      </c>
    </row>
    <row r="36" spans="1:19" x14ac:dyDescent="0.2">
      <c r="A36" s="3" t="s">
        <v>10</v>
      </c>
      <c r="B36" s="46">
        <f t="shared" si="5"/>
        <v>0</v>
      </c>
      <c r="C36" s="2">
        <f t="shared" si="5"/>
        <v>0</v>
      </c>
      <c r="D36" s="52"/>
      <c r="E36" s="16">
        <f t="shared" si="6"/>
        <v>0</v>
      </c>
      <c r="F36" s="2">
        <v>0</v>
      </c>
      <c r="G36" s="2">
        <f t="shared" si="7"/>
        <v>0</v>
      </c>
      <c r="H36" s="69">
        <v>14917.48</v>
      </c>
      <c r="I36" s="343"/>
      <c r="J36" s="73"/>
      <c r="K36" s="312"/>
      <c r="L36" s="312"/>
      <c r="M36" s="312"/>
      <c r="N36" s="347"/>
      <c r="O36" s="84"/>
      <c r="P36" s="93"/>
      <c r="Q36" s="94">
        <f t="shared" si="8"/>
        <v>0</v>
      </c>
      <c r="R36" s="93"/>
      <c r="S36" s="94">
        <f t="shared" si="9"/>
        <v>0</v>
      </c>
    </row>
    <row r="37" spans="1:19" x14ac:dyDescent="0.2">
      <c r="A37" s="3" t="s">
        <v>11</v>
      </c>
      <c r="B37" s="46">
        <f t="shared" si="5"/>
        <v>0</v>
      </c>
      <c r="C37" s="2">
        <f t="shared" si="5"/>
        <v>0</v>
      </c>
      <c r="D37" s="52"/>
      <c r="E37" s="16">
        <f t="shared" si="6"/>
        <v>0</v>
      </c>
      <c r="F37" s="2">
        <v>0</v>
      </c>
      <c r="G37" s="2">
        <f t="shared" si="7"/>
        <v>0</v>
      </c>
      <c r="H37" s="69">
        <v>19284.349999999999</v>
      </c>
      <c r="I37" s="344"/>
      <c r="J37" s="73"/>
      <c r="K37" s="312"/>
      <c r="L37" s="312"/>
      <c r="M37" s="312"/>
      <c r="N37" s="347"/>
      <c r="O37" s="84"/>
      <c r="P37" s="93"/>
      <c r="Q37" s="94">
        <f t="shared" si="8"/>
        <v>0</v>
      </c>
      <c r="R37" s="93"/>
      <c r="S37" s="94">
        <f t="shared" si="9"/>
        <v>0</v>
      </c>
    </row>
    <row r="38" spans="1:19" x14ac:dyDescent="0.2">
      <c r="A38" s="4" t="s">
        <v>20</v>
      </c>
      <c r="B38" s="53">
        <f>SUM(B26:B37)</f>
        <v>0</v>
      </c>
      <c r="C38" s="5">
        <f t="shared" ref="C38:N38" si="10">SUM(C26:C37)</f>
        <v>0</v>
      </c>
      <c r="D38" s="53">
        <f t="shared" si="10"/>
        <v>0</v>
      </c>
      <c r="E38" s="5">
        <f t="shared" si="10"/>
        <v>0</v>
      </c>
      <c r="F38" s="5">
        <f t="shared" si="10"/>
        <v>0</v>
      </c>
      <c r="G38" s="5">
        <f t="shared" si="10"/>
        <v>0</v>
      </c>
      <c r="H38" s="62">
        <f t="shared" si="10"/>
        <v>121770.96999999997</v>
      </c>
      <c r="I38" s="62">
        <f>SUM(I27:I37)</f>
        <v>78578.899999999994</v>
      </c>
      <c r="J38" s="62">
        <f t="shared" si="10"/>
        <v>0</v>
      </c>
      <c r="K38" s="62">
        <f t="shared" si="10"/>
        <v>7129</v>
      </c>
      <c r="L38" s="62">
        <f t="shared" si="10"/>
        <v>1660</v>
      </c>
      <c r="M38" s="62">
        <f t="shared" si="10"/>
        <v>7643</v>
      </c>
      <c r="N38" s="62">
        <f t="shared" si="10"/>
        <v>37750.67</v>
      </c>
      <c r="O38" s="85"/>
      <c r="P38" s="5">
        <f t="shared" ref="P38:Q38" si="11">SUM(P26:P37)</f>
        <v>67</v>
      </c>
      <c r="Q38" s="5">
        <f t="shared" si="11"/>
        <v>2713.5</v>
      </c>
      <c r="R38" s="5">
        <f t="shared" ref="R38:S38" si="12">SUM(R26:R37)</f>
        <v>67</v>
      </c>
      <c r="S38" s="5">
        <f t="shared" si="12"/>
        <v>2343.66</v>
      </c>
    </row>
    <row r="44" spans="1:19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58"/>
      <c r="K44" s="335"/>
      <c r="L44" s="335"/>
      <c r="M44" s="335"/>
      <c r="N44" s="335"/>
      <c r="O44" s="59"/>
      <c r="P44" s="322"/>
      <c r="Q44" s="322"/>
      <c r="R44" s="322"/>
      <c r="S44" s="322"/>
    </row>
    <row r="45" spans="1:19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8"/>
      <c r="L45" s="8"/>
      <c r="M45" s="8"/>
      <c r="N45" s="8"/>
      <c r="O45" s="8"/>
      <c r="P45" s="9"/>
      <c r="Q45" s="9"/>
      <c r="R45" s="9"/>
      <c r="S45" s="9"/>
    </row>
    <row r="46" spans="1:19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</row>
    <row r="47" spans="1:19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</row>
    <row r="48" spans="1:19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</row>
    <row r="49" spans="1:19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</row>
    <row r="50" spans="1:19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</row>
    <row r="51" spans="1:19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</row>
    <row r="52" spans="1:19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</row>
    <row r="53" spans="1:19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</row>
    <row r="54" spans="1:19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</row>
    <row r="56" spans="1:19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</row>
    <row r="57" spans="1:19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</row>
    <row r="58" spans="1:19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</sheetData>
  <mergeCells count="63">
    <mergeCell ref="I27:I37"/>
    <mergeCell ref="P5:P16"/>
    <mergeCell ref="Q5:Q16"/>
    <mergeCell ref="R5:R16"/>
    <mergeCell ref="S5:S16"/>
    <mergeCell ref="P26:P29"/>
    <mergeCell ref="Q26:Q29"/>
    <mergeCell ref="R26:R29"/>
    <mergeCell ref="S26:S29"/>
    <mergeCell ref="K26:K28"/>
    <mergeCell ref="L26:L28"/>
    <mergeCell ref="M26:M28"/>
    <mergeCell ref="N26:N28"/>
    <mergeCell ref="N29:N37"/>
    <mergeCell ref="M29:M37"/>
    <mergeCell ref="L29:L37"/>
    <mergeCell ref="R2:S2"/>
    <mergeCell ref="R3:S3"/>
    <mergeCell ref="R23:S23"/>
    <mergeCell ref="R24:S24"/>
    <mergeCell ref="R44:S44"/>
    <mergeCell ref="K29:K37"/>
    <mergeCell ref="K5:K7"/>
    <mergeCell ref="L5:L7"/>
    <mergeCell ref="N5:N7"/>
    <mergeCell ref="M5:M7"/>
    <mergeCell ref="K8:K16"/>
    <mergeCell ref="L8:L16"/>
    <mergeCell ref="M8:M16"/>
    <mergeCell ref="N8:N16"/>
    <mergeCell ref="P44:Q44"/>
    <mergeCell ref="A44:A45"/>
    <mergeCell ref="B44:C44"/>
    <mergeCell ref="D44:E44"/>
    <mergeCell ref="F44:G44"/>
    <mergeCell ref="H44:I44"/>
    <mergeCell ref="K44:N44"/>
    <mergeCell ref="P23:Q23"/>
    <mergeCell ref="B24:C24"/>
    <mergeCell ref="D24:E24"/>
    <mergeCell ref="F24:G24"/>
    <mergeCell ref="H24:I24"/>
    <mergeCell ref="K24:N24"/>
    <mergeCell ref="P24:Q24"/>
    <mergeCell ref="K23:N23"/>
    <mergeCell ref="A23:A25"/>
    <mergeCell ref="B23:C23"/>
    <mergeCell ref="D23:E23"/>
    <mergeCell ref="F23:G23"/>
    <mergeCell ref="H23:I23"/>
    <mergeCell ref="P2:Q2"/>
    <mergeCell ref="B3:C3"/>
    <mergeCell ref="D3:E3"/>
    <mergeCell ref="F3:G3"/>
    <mergeCell ref="H3:I3"/>
    <mergeCell ref="K3:N3"/>
    <mergeCell ref="P3:Q3"/>
    <mergeCell ref="K2:N2"/>
    <mergeCell ref="A2:A4"/>
    <mergeCell ref="B2:C2"/>
    <mergeCell ref="D2:E2"/>
    <mergeCell ref="F2:G2"/>
    <mergeCell ref="H2:I2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02CA1-94E5-4A31-AF19-B5FAC6D88E18}">
  <dimension ref="A1:R58"/>
  <sheetViews>
    <sheetView topLeftCell="A22" workbookViewId="0">
      <selection activeCell="A44" sqref="A44:R59"/>
    </sheetView>
  </sheetViews>
  <sheetFormatPr defaultRowHeight="12.75" x14ac:dyDescent="0.2"/>
  <cols>
    <col min="1" max="1" width="12.7109375" customWidth="1"/>
    <col min="2" max="7" width="11.7109375" hidden="1" customWidth="1"/>
    <col min="8" max="18" width="11.7109375" customWidth="1"/>
  </cols>
  <sheetData>
    <row r="1" spans="1:18" ht="15" x14ac:dyDescent="0.2">
      <c r="A1" s="21" t="s">
        <v>211</v>
      </c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57" t="s">
        <v>33</v>
      </c>
      <c r="Q1" s="15"/>
      <c r="R1" s="57"/>
    </row>
    <row r="2" spans="1:18" ht="15" customHeight="1" x14ac:dyDescent="0.2">
      <c r="A2" s="313">
        <v>2019</v>
      </c>
      <c r="B2" s="316"/>
      <c r="C2" s="317"/>
      <c r="D2" s="316"/>
      <c r="E2" s="317"/>
      <c r="F2" s="316"/>
      <c r="G2" s="317"/>
      <c r="H2" s="318"/>
      <c r="I2" s="319"/>
      <c r="J2" s="71"/>
      <c r="K2" s="304"/>
      <c r="L2" s="305"/>
      <c r="M2" s="305"/>
      <c r="N2" s="306"/>
      <c r="O2" s="322"/>
      <c r="P2" s="322"/>
      <c r="Q2" s="322"/>
      <c r="R2" s="322"/>
    </row>
    <row r="3" spans="1:18" ht="12.75" customHeight="1" x14ac:dyDescent="0.2">
      <c r="A3" s="314"/>
      <c r="B3" s="316" t="s">
        <v>21</v>
      </c>
      <c r="C3" s="317"/>
      <c r="D3" s="317" t="s">
        <v>12</v>
      </c>
      <c r="E3" s="317"/>
      <c r="F3" s="317" t="s">
        <v>13</v>
      </c>
      <c r="G3" s="317"/>
      <c r="H3" s="318" t="s">
        <v>29</v>
      </c>
      <c r="I3" s="319"/>
      <c r="J3" s="71" t="s">
        <v>52</v>
      </c>
      <c r="K3" s="304" t="s">
        <v>14</v>
      </c>
      <c r="L3" s="305"/>
      <c r="M3" s="305"/>
      <c r="N3" s="306"/>
      <c r="O3" s="322" t="s">
        <v>50</v>
      </c>
      <c r="P3" s="322"/>
      <c r="Q3" s="322" t="s">
        <v>51</v>
      </c>
      <c r="R3" s="322"/>
    </row>
    <row r="4" spans="1:18" ht="14.25" customHeight="1" x14ac:dyDescent="0.2">
      <c r="A4" s="315"/>
      <c r="B4" s="56" t="s">
        <v>16</v>
      </c>
      <c r="C4" s="7" t="s">
        <v>17</v>
      </c>
      <c r="D4" s="7" t="s">
        <v>16</v>
      </c>
      <c r="E4" s="7" t="s">
        <v>17</v>
      </c>
      <c r="F4" s="7" t="s">
        <v>16</v>
      </c>
      <c r="G4" s="7" t="s">
        <v>17</v>
      </c>
      <c r="H4" s="20" t="s">
        <v>18</v>
      </c>
      <c r="I4" s="20" t="s">
        <v>17</v>
      </c>
      <c r="J4" s="20"/>
      <c r="K4" s="8" t="s">
        <v>35</v>
      </c>
      <c r="L4" s="8" t="s">
        <v>36</v>
      </c>
      <c r="M4" s="8" t="s">
        <v>37</v>
      </c>
      <c r="N4" s="8" t="s">
        <v>17</v>
      </c>
      <c r="O4" s="9" t="s">
        <v>23</v>
      </c>
      <c r="P4" s="9" t="s">
        <v>24</v>
      </c>
      <c r="Q4" s="9" t="s">
        <v>23</v>
      </c>
      <c r="R4" s="9" t="s">
        <v>24</v>
      </c>
    </row>
    <row r="5" spans="1:18" x14ac:dyDescent="0.2">
      <c r="A5" s="3" t="s">
        <v>0</v>
      </c>
      <c r="B5" s="46"/>
      <c r="C5" s="2">
        <f>E5+G5</f>
        <v>0</v>
      </c>
      <c r="D5" s="51"/>
      <c r="E5" s="16">
        <f>D5*513.8</f>
        <v>0</v>
      </c>
      <c r="F5" s="2">
        <v>0</v>
      </c>
      <c r="G5" s="2">
        <f>F5*336.1423</f>
        <v>0</v>
      </c>
      <c r="H5" s="2">
        <f>8422.12+30344.16</f>
        <v>38766.28</v>
      </c>
      <c r="I5" s="2">
        <f>6197+22098.31</f>
        <v>28295.31</v>
      </c>
      <c r="J5" s="256"/>
      <c r="K5" s="26">
        <v>2589</v>
      </c>
      <c r="L5" s="26">
        <v>354</v>
      </c>
      <c r="M5" s="26">
        <f>K5+L5</f>
        <v>2943</v>
      </c>
      <c r="N5" s="26">
        <v>10838.04</v>
      </c>
      <c r="O5" s="332">
        <v>658</v>
      </c>
      <c r="P5" s="323">
        <f>O5*36.2</f>
        <v>23819.600000000002</v>
      </c>
      <c r="Q5" s="332">
        <v>658</v>
      </c>
      <c r="R5" s="323">
        <f>Q5*31.74</f>
        <v>20884.919999999998</v>
      </c>
    </row>
    <row r="6" spans="1:18" x14ac:dyDescent="0.2">
      <c r="A6" s="3" t="s">
        <v>1</v>
      </c>
      <c r="B6" s="46"/>
      <c r="C6" s="2">
        <f t="shared" ref="C6:C16" si="0">E6+G6</f>
        <v>0</v>
      </c>
      <c r="D6" s="52"/>
      <c r="E6" s="16">
        <f t="shared" ref="E6:E16" si="1">D6*513.8</f>
        <v>0</v>
      </c>
      <c r="F6" s="2">
        <v>0</v>
      </c>
      <c r="G6" s="2">
        <f t="shared" ref="G6:G16" si="2">F6*336.1423</f>
        <v>0</v>
      </c>
      <c r="H6" s="2">
        <v>23092.55</v>
      </c>
      <c r="I6" s="2">
        <v>17336.77</v>
      </c>
      <c r="J6" s="2"/>
      <c r="K6" s="26">
        <v>2408</v>
      </c>
      <c r="L6" s="26">
        <v>307</v>
      </c>
      <c r="M6" s="26">
        <f t="shared" ref="M6:M16" si="3">K6+L6</f>
        <v>2715</v>
      </c>
      <c r="N6" s="26">
        <v>10146.219999999999</v>
      </c>
      <c r="O6" s="333"/>
      <c r="P6" s="324"/>
      <c r="Q6" s="333"/>
      <c r="R6" s="324"/>
    </row>
    <row r="7" spans="1:18" x14ac:dyDescent="0.2">
      <c r="A7" s="3" t="s">
        <v>2</v>
      </c>
      <c r="B7" s="46"/>
      <c r="C7" s="2">
        <f t="shared" si="0"/>
        <v>0</v>
      </c>
      <c r="D7" s="52"/>
      <c r="E7" s="16">
        <f t="shared" si="1"/>
        <v>0</v>
      </c>
      <c r="F7" s="2">
        <v>0</v>
      </c>
      <c r="G7" s="2">
        <f t="shared" si="2"/>
        <v>0</v>
      </c>
      <c r="H7" s="2">
        <v>17597.96</v>
      </c>
      <c r="I7" s="2">
        <v>13492.66</v>
      </c>
      <c r="J7" s="2"/>
      <c r="K7" s="26">
        <v>2592</v>
      </c>
      <c r="L7" s="26">
        <v>342</v>
      </c>
      <c r="M7" s="26">
        <f t="shared" si="3"/>
        <v>2934</v>
      </c>
      <c r="N7" s="26">
        <v>10831.49</v>
      </c>
      <c r="O7" s="333"/>
      <c r="P7" s="324"/>
      <c r="Q7" s="333"/>
      <c r="R7" s="324"/>
    </row>
    <row r="8" spans="1:18" x14ac:dyDescent="0.2">
      <c r="A8" s="3" t="s">
        <v>3</v>
      </c>
      <c r="B8" s="46"/>
      <c r="C8" s="2">
        <f t="shared" si="0"/>
        <v>0</v>
      </c>
      <c r="D8" s="52"/>
      <c r="E8" s="16">
        <f t="shared" si="1"/>
        <v>0</v>
      </c>
      <c r="F8" s="2">
        <v>0</v>
      </c>
      <c r="G8" s="2">
        <f t="shared" si="2"/>
        <v>0</v>
      </c>
      <c r="H8" s="2">
        <v>10344.67</v>
      </c>
      <c r="I8" s="2">
        <v>8418.11</v>
      </c>
      <c r="J8" s="2"/>
      <c r="K8" s="26">
        <v>2388</v>
      </c>
      <c r="L8" s="26">
        <v>314</v>
      </c>
      <c r="M8" s="26">
        <f t="shared" si="3"/>
        <v>2702</v>
      </c>
      <c r="N8" s="26">
        <v>10086.959999999999</v>
      </c>
      <c r="O8" s="333"/>
      <c r="P8" s="324"/>
      <c r="Q8" s="333"/>
      <c r="R8" s="324"/>
    </row>
    <row r="9" spans="1:18" x14ac:dyDescent="0.2">
      <c r="A9" s="3" t="s">
        <v>4</v>
      </c>
      <c r="B9" s="46"/>
      <c r="C9" s="2">
        <f t="shared" si="0"/>
        <v>0</v>
      </c>
      <c r="D9" s="52"/>
      <c r="E9" s="16">
        <f t="shared" si="1"/>
        <v>0</v>
      </c>
      <c r="F9" s="2">
        <v>0</v>
      </c>
      <c r="G9" s="2">
        <f t="shared" si="2"/>
        <v>0</v>
      </c>
      <c r="H9" s="2">
        <v>8957.3700000000008</v>
      </c>
      <c r="I9" s="2">
        <v>7447.52</v>
      </c>
      <c r="J9" s="2"/>
      <c r="K9" s="26">
        <v>2673</v>
      </c>
      <c r="L9" s="26">
        <v>322</v>
      </c>
      <c r="M9" s="26">
        <f t="shared" si="3"/>
        <v>2995</v>
      </c>
      <c r="N9" s="257">
        <v>11083.29</v>
      </c>
      <c r="O9" s="333"/>
      <c r="P9" s="324"/>
      <c r="Q9" s="333"/>
      <c r="R9" s="324"/>
    </row>
    <row r="10" spans="1:18" x14ac:dyDescent="0.2">
      <c r="A10" s="3" t="s">
        <v>5</v>
      </c>
      <c r="B10" s="46"/>
      <c r="C10" s="2">
        <f t="shared" si="0"/>
        <v>0</v>
      </c>
      <c r="D10" s="52"/>
      <c r="E10" s="16">
        <f t="shared" si="1"/>
        <v>0</v>
      </c>
      <c r="F10" s="2">
        <v>0</v>
      </c>
      <c r="G10" s="2">
        <f t="shared" si="2"/>
        <v>0</v>
      </c>
      <c r="H10" s="2">
        <v>2392.27</v>
      </c>
      <c r="I10" s="2">
        <v>2854.44</v>
      </c>
      <c r="J10" s="2"/>
      <c r="K10" s="26">
        <v>2421</v>
      </c>
      <c r="L10" s="26">
        <v>322</v>
      </c>
      <c r="M10" s="26">
        <f t="shared" si="3"/>
        <v>2743</v>
      </c>
      <c r="N10" s="26">
        <v>10212.290000000001</v>
      </c>
      <c r="O10" s="333"/>
      <c r="P10" s="324"/>
      <c r="Q10" s="333"/>
      <c r="R10" s="324"/>
    </row>
    <row r="11" spans="1:18" x14ac:dyDescent="0.2">
      <c r="A11" s="3" t="s">
        <v>6</v>
      </c>
      <c r="B11" s="46"/>
      <c r="C11" s="2">
        <f t="shared" si="0"/>
        <v>0</v>
      </c>
      <c r="D11" s="52"/>
      <c r="E11" s="16">
        <f t="shared" si="1"/>
        <v>0</v>
      </c>
      <c r="F11" s="2">
        <v>0</v>
      </c>
      <c r="G11" s="2">
        <f t="shared" si="2"/>
        <v>0</v>
      </c>
      <c r="H11" s="2">
        <v>2490.59</v>
      </c>
      <c r="I11" s="2">
        <v>2923.23</v>
      </c>
      <c r="J11" s="2"/>
      <c r="K11" s="26">
        <v>1430</v>
      </c>
      <c r="L11" s="26">
        <v>214</v>
      </c>
      <c r="M11" s="26">
        <f t="shared" si="3"/>
        <v>1644</v>
      </c>
      <c r="N11" s="26">
        <v>6634.94</v>
      </c>
      <c r="O11" s="333"/>
      <c r="P11" s="324"/>
      <c r="Q11" s="333"/>
      <c r="R11" s="324"/>
    </row>
    <row r="12" spans="1:18" x14ac:dyDescent="0.2">
      <c r="A12" s="3" t="s">
        <v>7</v>
      </c>
      <c r="B12" s="46"/>
      <c r="C12" s="2">
        <f t="shared" si="0"/>
        <v>0</v>
      </c>
      <c r="D12" s="52"/>
      <c r="E12" s="16">
        <f t="shared" si="1"/>
        <v>0</v>
      </c>
      <c r="F12" s="2">
        <v>0</v>
      </c>
      <c r="G12" s="2">
        <f t="shared" si="2"/>
        <v>0</v>
      </c>
      <c r="H12" s="2">
        <v>2370.4299999999998</v>
      </c>
      <c r="I12" s="2">
        <v>2839.17</v>
      </c>
      <c r="J12" s="2"/>
      <c r="K12" s="26">
        <v>1256</v>
      </c>
      <c r="L12" s="26">
        <v>212</v>
      </c>
      <c r="M12" s="26">
        <f t="shared" si="3"/>
        <v>1468</v>
      </c>
      <c r="N12" s="257">
        <v>6030.71</v>
      </c>
      <c r="O12" s="333"/>
      <c r="P12" s="324"/>
      <c r="Q12" s="333"/>
      <c r="R12" s="324"/>
    </row>
    <row r="13" spans="1:18" x14ac:dyDescent="0.2">
      <c r="A13" s="3" t="s">
        <v>8</v>
      </c>
      <c r="B13" s="46"/>
      <c r="C13" s="2">
        <f t="shared" si="0"/>
        <v>0</v>
      </c>
      <c r="D13" s="52"/>
      <c r="E13" s="16">
        <f t="shared" si="1"/>
        <v>0</v>
      </c>
      <c r="F13" s="2">
        <v>0</v>
      </c>
      <c r="G13" s="2">
        <f t="shared" si="2"/>
        <v>0</v>
      </c>
      <c r="H13" s="2">
        <v>4434.99</v>
      </c>
      <c r="I13" s="2">
        <v>4283.5600000000004</v>
      </c>
      <c r="J13" s="2"/>
      <c r="K13" s="26">
        <v>2531</v>
      </c>
      <c r="L13" s="26">
        <v>324</v>
      </c>
      <c r="M13" s="26">
        <f t="shared" si="3"/>
        <v>2855</v>
      </c>
      <c r="N13" s="26">
        <v>10595.29</v>
      </c>
      <c r="O13" s="333"/>
      <c r="P13" s="324"/>
      <c r="Q13" s="333"/>
      <c r="R13" s="324"/>
    </row>
    <row r="14" spans="1:18" x14ac:dyDescent="0.2">
      <c r="A14" s="3" t="s">
        <v>9</v>
      </c>
      <c r="B14" s="46"/>
      <c r="C14" s="2">
        <f t="shared" si="0"/>
        <v>0</v>
      </c>
      <c r="D14" s="52"/>
      <c r="E14" s="16">
        <f t="shared" si="1"/>
        <v>0</v>
      </c>
      <c r="F14" s="2">
        <v>0</v>
      </c>
      <c r="G14" s="2">
        <f t="shared" si="2"/>
        <v>0</v>
      </c>
      <c r="H14" s="2">
        <v>8400.27</v>
      </c>
      <c r="I14" s="2">
        <v>7057.76</v>
      </c>
      <c r="J14" s="2"/>
      <c r="K14" s="26">
        <v>2589</v>
      </c>
      <c r="L14" s="26">
        <v>335</v>
      </c>
      <c r="M14" s="26">
        <f t="shared" si="3"/>
        <v>2924</v>
      </c>
      <c r="N14" s="26">
        <v>10811.27</v>
      </c>
      <c r="O14" s="333"/>
      <c r="P14" s="324"/>
      <c r="Q14" s="333"/>
      <c r="R14" s="324"/>
    </row>
    <row r="15" spans="1:18" x14ac:dyDescent="0.2">
      <c r="A15" s="3" t="s">
        <v>10</v>
      </c>
      <c r="B15" s="46"/>
      <c r="C15" s="2">
        <f t="shared" si="0"/>
        <v>0</v>
      </c>
      <c r="D15" s="52"/>
      <c r="E15" s="16">
        <f t="shared" si="1"/>
        <v>0</v>
      </c>
      <c r="F15" s="2">
        <v>0</v>
      </c>
      <c r="G15" s="2">
        <f t="shared" si="2"/>
        <v>0</v>
      </c>
      <c r="H15" s="2">
        <v>14812.44</v>
      </c>
      <c r="I15" s="2">
        <v>11543.85</v>
      </c>
      <c r="J15" s="2"/>
      <c r="K15" s="26">
        <v>2536</v>
      </c>
      <c r="L15" s="26">
        <v>323</v>
      </c>
      <c r="M15" s="26">
        <f t="shared" si="3"/>
        <v>2859</v>
      </c>
      <c r="N15" s="26">
        <v>10611.18</v>
      </c>
      <c r="O15" s="333"/>
      <c r="P15" s="324"/>
      <c r="Q15" s="333"/>
      <c r="R15" s="324"/>
    </row>
    <row r="16" spans="1:18" x14ac:dyDescent="0.2">
      <c r="A16" s="3" t="s">
        <v>11</v>
      </c>
      <c r="B16" s="46"/>
      <c r="C16" s="2">
        <f t="shared" si="0"/>
        <v>0</v>
      </c>
      <c r="D16" s="52"/>
      <c r="E16" s="16">
        <f t="shared" si="1"/>
        <v>0</v>
      </c>
      <c r="F16" s="2">
        <v>0</v>
      </c>
      <c r="G16" s="2">
        <f t="shared" si="2"/>
        <v>0</v>
      </c>
      <c r="H16" s="2">
        <v>21311.98</v>
      </c>
      <c r="I16" s="2">
        <v>16091.05</v>
      </c>
      <c r="J16" s="2"/>
      <c r="K16" s="26">
        <v>2145</v>
      </c>
      <c r="L16" s="26">
        <v>363</v>
      </c>
      <c r="M16" s="26">
        <f t="shared" si="3"/>
        <v>2508</v>
      </c>
      <c r="N16" s="26">
        <v>9316.1</v>
      </c>
      <c r="O16" s="334"/>
      <c r="P16" s="325"/>
      <c r="Q16" s="334"/>
      <c r="R16" s="325"/>
    </row>
    <row r="17" spans="1:18" x14ac:dyDescent="0.2">
      <c r="A17" s="4" t="s">
        <v>20</v>
      </c>
      <c r="B17" s="53">
        <f>SUM(B5:B16)</f>
        <v>0</v>
      </c>
      <c r="C17" s="5">
        <f t="shared" ref="C17:R17" si="4">SUM(C5:C16)</f>
        <v>0</v>
      </c>
      <c r="D17" s="53">
        <f t="shared" si="4"/>
        <v>0</v>
      </c>
      <c r="E17" s="5">
        <f t="shared" si="4"/>
        <v>0</v>
      </c>
      <c r="F17" s="5">
        <f t="shared" si="4"/>
        <v>0</v>
      </c>
      <c r="G17" s="5">
        <f t="shared" si="4"/>
        <v>0</v>
      </c>
      <c r="H17" s="5">
        <f t="shared" si="4"/>
        <v>154971.80000000002</v>
      </c>
      <c r="I17" s="5">
        <f t="shared" si="4"/>
        <v>122583.43000000001</v>
      </c>
      <c r="J17" s="5"/>
      <c r="K17" s="5">
        <f t="shared" si="4"/>
        <v>27558</v>
      </c>
      <c r="L17" s="5">
        <f t="shared" si="4"/>
        <v>3732</v>
      </c>
      <c r="M17" s="5">
        <f t="shared" si="4"/>
        <v>31290</v>
      </c>
      <c r="N17" s="5">
        <f t="shared" si="4"/>
        <v>117197.78000000003</v>
      </c>
      <c r="O17" s="5">
        <f t="shared" si="4"/>
        <v>658</v>
      </c>
      <c r="P17" s="5">
        <f t="shared" si="4"/>
        <v>23819.600000000002</v>
      </c>
      <c r="Q17" s="5">
        <f t="shared" si="4"/>
        <v>658</v>
      </c>
      <c r="R17" s="5">
        <f t="shared" si="4"/>
        <v>20884.919999999998</v>
      </c>
    </row>
    <row r="18" spans="1:18" x14ac:dyDescent="0.2">
      <c r="A18" s="1"/>
      <c r="B18" s="1"/>
      <c r="C18" s="1"/>
      <c r="D18" s="1"/>
      <c r="E18" s="28"/>
      <c r="F18" s="54"/>
      <c r="G18" s="55"/>
      <c r="H18" s="54"/>
      <c r="I18" s="55"/>
      <c r="J18" s="55"/>
      <c r="K18" s="29"/>
      <c r="L18" s="29"/>
      <c r="M18" s="29"/>
      <c r="N18" s="32"/>
      <c r="O18" s="27"/>
      <c r="P18" s="32"/>
      <c r="Q18" s="27"/>
      <c r="R18" s="32"/>
    </row>
    <row r="19" spans="1:18" x14ac:dyDescent="0.2">
      <c r="A19" s="1"/>
      <c r="B19" s="1"/>
      <c r="C19" s="1"/>
      <c r="D19" s="1"/>
      <c r="E19" s="1"/>
      <c r="F19" s="1"/>
      <c r="G19" s="1"/>
      <c r="H19" s="1"/>
      <c r="I19" s="77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H20" s="78"/>
    </row>
    <row r="23" spans="1:18" x14ac:dyDescent="0.2">
      <c r="A23" s="313">
        <v>2020</v>
      </c>
      <c r="B23" s="316"/>
      <c r="C23" s="317"/>
      <c r="D23" s="316"/>
      <c r="E23" s="317"/>
      <c r="F23" s="316"/>
      <c r="G23" s="317"/>
      <c r="H23" s="318"/>
      <c r="I23" s="319"/>
      <c r="J23" s="71"/>
      <c r="K23" s="304"/>
      <c r="L23" s="305"/>
      <c r="M23" s="305"/>
      <c r="N23" s="306"/>
      <c r="O23" s="322"/>
      <c r="P23" s="322"/>
      <c r="Q23" s="322"/>
      <c r="R23" s="322"/>
    </row>
    <row r="24" spans="1:18" x14ac:dyDescent="0.2">
      <c r="A24" s="314"/>
      <c r="B24" s="316" t="s">
        <v>21</v>
      </c>
      <c r="C24" s="317"/>
      <c r="D24" s="317" t="s">
        <v>12</v>
      </c>
      <c r="E24" s="317"/>
      <c r="F24" s="317" t="s">
        <v>13</v>
      </c>
      <c r="G24" s="317"/>
      <c r="H24" s="318" t="s">
        <v>29</v>
      </c>
      <c r="I24" s="319"/>
      <c r="J24" s="71" t="s">
        <v>52</v>
      </c>
      <c r="K24" s="304" t="s">
        <v>14</v>
      </c>
      <c r="L24" s="305"/>
      <c r="M24" s="305"/>
      <c r="N24" s="306"/>
      <c r="O24" s="322" t="s">
        <v>50</v>
      </c>
      <c r="P24" s="322"/>
      <c r="Q24" s="322" t="s">
        <v>51</v>
      </c>
      <c r="R24" s="322"/>
    </row>
    <row r="25" spans="1:18" ht="14.25" x14ac:dyDescent="0.2">
      <c r="A25" s="315"/>
      <c r="B25" s="56" t="s">
        <v>16</v>
      </c>
      <c r="C25" s="7" t="s">
        <v>17</v>
      </c>
      <c r="D25" s="7" t="s">
        <v>16</v>
      </c>
      <c r="E25" s="7" t="s">
        <v>17</v>
      </c>
      <c r="F25" s="7" t="s">
        <v>16</v>
      </c>
      <c r="G25" s="7" t="s">
        <v>17</v>
      </c>
      <c r="H25" s="20" t="s">
        <v>18</v>
      </c>
      <c r="I25" s="20" t="s">
        <v>17</v>
      </c>
      <c r="J25" s="20"/>
      <c r="K25" s="8" t="s">
        <v>35</v>
      </c>
      <c r="L25" s="8" t="s">
        <v>36</v>
      </c>
      <c r="M25" s="8" t="s">
        <v>37</v>
      </c>
      <c r="N25" s="8" t="s">
        <v>17</v>
      </c>
      <c r="O25" s="9" t="s">
        <v>23</v>
      </c>
      <c r="P25" s="9" t="s">
        <v>24</v>
      </c>
      <c r="Q25" s="9" t="s">
        <v>23</v>
      </c>
      <c r="R25" s="9" t="s">
        <v>24</v>
      </c>
    </row>
    <row r="26" spans="1:18" x14ac:dyDescent="0.2">
      <c r="A26" s="3" t="s">
        <v>0</v>
      </c>
      <c r="B26" s="46">
        <f>D26+F26</f>
        <v>0</v>
      </c>
      <c r="C26" s="2">
        <f>E26+G26</f>
        <v>0</v>
      </c>
      <c r="D26" s="51"/>
      <c r="E26" s="16">
        <f>D26*513.8</f>
        <v>0</v>
      </c>
      <c r="F26" s="2">
        <v>0</v>
      </c>
      <c r="G26" s="2">
        <f>F26*336.1423</f>
        <v>0</v>
      </c>
      <c r="H26" s="69">
        <f>23267.32+10217.15</f>
        <v>33484.47</v>
      </c>
      <c r="I26" s="342">
        <f>17048.69+76206.14+27723.6</f>
        <v>120978.43</v>
      </c>
      <c r="J26" s="69"/>
      <c r="K26" s="26">
        <v>2758</v>
      </c>
      <c r="L26" s="26">
        <v>380</v>
      </c>
      <c r="M26" s="26">
        <f>K26+L26</f>
        <v>3138</v>
      </c>
      <c r="N26" s="61">
        <v>13837.28</v>
      </c>
      <c r="O26" s="339">
        <v>147</v>
      </c>
      <c r="P26" s="336">
        <f>O26*40.5</f>
        <v>5953.5</v>
      </c>
      <c r="Q26" s="339">
        <v>147</v>
      </c>
      <c r="R26" s="336">
        <f>Q26*34.98</f>
        <v>5142.0599999999995</v>
      </c>
    </row>
    <row r="27" spans="1:18" x14ac:dyDescent="0.2">
      <c r="A27" s="3" t="s">
        <v>1</v>
      </c>
      <c r="B27" s="46">
        <f t="shared" ref="B27:C37" si="5">D27+F27</f>
        <v>0</v>
      </c>
      <c r="C27" s="2">
        <f t="shared" si="5"/>
        <v>0</v>
      </c>
      <c r="D27" s="52"/>
      <c r="E27" s="16">
        <f t="shared" ref="E27:E37" si="6">D27*513.8</f>
        <v>0</v>
      </c>
      <c r="F27" s="2">
        <v>0</v>
      </c>
      <c r="G27" s="2">
        <f t="shared" ref="G27:G37" si="7">F27*336.1423</f>
        <v>0</v>
      </c>
      <c r="H27" s="69">
        <v>19801.87</v>
      </c>
      <c r="I27" s="343"/>
      <c r="J27" s="69"/>
      <c r="K27" s="26">
        <v>2454</v>
      </c>
      <c r="L27" s="26">
        <v>301</v>
      </c>
      <c r="M27" s="26">
        <f t="shared" ref="M27:M38" si="8">K27+L27</f>
        <v>2755</v>
      </c>
      <c r="N27" s="61">
        <v>12398.61</v>
      </c>
      <c r="O27" s="340"/>
      <c r="P27" s="337"/>
      <c r="Q27" s="340"/>
      <c r="R27" s="337"/>
    </row>
    <row r="28" spans="1:18" x14ac:dyDescent="0.2">
      <c r="A28" s="3" t="s">
        <v>2</v>
      </c>
      <c r="B28" s="46">
        <f t="shared" si="5"/>
        <v>0</v>
      </c>
      <c r="C28" s="2">
        <f t="shared" si="5"/>
        <v>0</v>
      </c>
      <c r="D28" s="52"/>
      <c r="E28" s="16">
        <f t="shared" si="6"/>
        <v>0</v>
      </c>
      <c r="F28" s="2">
        <v>0</v>
      </c>
      <c r="G28" s="2">
        <f t="shared" si="7"/>
        <v>0</v>
      </c>
      <c r="H28" s="69">
        <v>20946.810000000001</v>
      </c>
      <c r="I28" s="343"/>
      <c r="J28" s="69"/>
      <c r="K28" s="26">
        <v>1273</v>
      </c>
      <c r="L28" s="26">
        <v>283</v>
      </c>
      <c r="M28" s="26">
        <f t="shared" si="8"/>
        <v>1556</v>
      </c>
      <c r="N28" s="61">
        <f>4752.41+2591.69</f>
        <v>7344.1</v>
      </c>
      <c r="O28" s="340"/>
      <c r="P28" s="337"/>
      <c r="Q28" s="340"/>
      <c r="R28" s="337"/>
    </row>
    <row r="29" spans="1:18" x14ac:dyDescent="0.2">
      <c r="A29" s="3" t="s">
        <v>3</v>
      </c>
      <c r="B29" s="46">
        <f t="shared" si="5"/>
        <v>0</v>
      </c>
      <c r="C29" s="2">
        <f t="shared" si="5"/>
        <v>0</v>
      </c>
      <c r="D29" s="52"/>
      <c r="E29" s="16">
        <f t="shared" si="6"/>
        <v>0</v>
      </c>
      <c r="F29" s="2">
        <v>0</v>
      </c>
      <c r="G29" s="2">
        <f t="shared" si="7"/>
        <v>0</v>
      </c>
      <c r="H29" s="69">
        <v>11525.65</v>
      </c>
      <c r="I29" s="343"/>
      <c r="J29" s="69"/>
      <c r="K29" s="26">
        <v>686</v>
      </c>
      <c r="L29" s="26">
        <v>235</v>
      </c>
      <c r="M29" s="26">
        <f t="shared" si="8"/>
        <v>921</v>
      </c>
      <c r="N29" s="61">
        <f>3268.59+1490.98</f>
        <v>4759.57</v>
      </c>
      <c r="O29" s="341"/>
      <c r="P29" s="338"/>
      <c r="Q29" s="341"/>
      <c r="R29" s="338"/>
    </row>
    <row r="30" spans="1:18" x14ac:dyDescent="0.2">
      <c r="A30" s="3" t="s">
        <v>4</v>
      </c>
      <c r="B30" s="46">
        <f t="shared" si="5"/>
        <v>0</v>
      </c>
      <c r="C30" s="2">
        <f t="shared" si="5"/>
        <v>0</v>
      </c>
      <c r="D30" s="52"/>
      <c r="E30" s="16">
        <f t="shared" si="6"/>
        <v>0</v>
      </c>
      <c r="F30" s="2">
        <v>0</v>
      </c>
      <c r="G30" s="2">
        <f t="shared" si="7"/>
        <v>0</v>
      </c>
      <c r="H30" s="69">
        <v>7818.25</v>
      </c>
      <c r="I30" s="343"/>
      <c r="J30" s="69"/>
      <c r="K30" s="26">
        <v>1220</v>
      </c>
      <c r="L30" s="26">
        <v>266</v>
      </c>
      <c r="M30" s="26">
        <f t="shared" si="8"/>
        <v>1486</v>
      </c>
      <c r="N30" s="61">
        <v>7087.3</v>
      </c>
      <c r="O30" s="93"/>
      <c r="P30" s="94"/>
      <c r="Q30" s="93"/>
      <c r="R30" s="94"/>
    </row>
    <row r="31" spans="1:18" x14ac:dyDescent="0.2">
      <c r="A31" s="3" t="s">
        <v>5</v>
      </c>
      <c r="B31" s="46">
        <f t="shared" si="5"/>
        <v>0</v>
      </c>
      <c r="C31" s="2">
        <f t="shared" si="5"/>
        <v>0</v>
      </c>
      <c r="D31" s="52"/>
      <c r="E31" s="16">
        <f t="shared" si="6"/>
        <v>0</v>
      </c>
      <c r="F31" s="2">
        <v>0</v>
      </c>
      <c r="G31" s="2">
        <f t="shared" si="7"/>
        <v>0</v>
      </c>
      <c r="H31" s="69">
        <v>3620.17</v>
      </c>
      <c r="I31" s="343"/>
      <c r="J31" s="69"/>
      <c r="K31" s="99"/>
      <c r="L31" s="99"/>
      <c r="M31" s="99">
        <f t="shared" si="8"/>
        <v>0</v>
      </c>
      <c r="N31" s="100"/>
      <c r="O31" s="93"/>
      <c r="P31" s="94"/>
      <c r="Q31" s="93"/>
      <c r="R31" s="94"/>
    </row>
    <row r="32" spans="1:18" x14ac:dyDescent="0.2">
      <c r="A32" s="3" t="s">
        <v>6</v>
      </c>
      <c r="B32" s="46">
        <f t="shared" si="5"/>
        <v>0</v>
      </c>
      <c r="C32" s="2">
        <f t="shared" si="5"/>
        <v>0</v>
      </c>
      <c r="D32" s="52"/>
      <c r="E32" s="16">
        <f t="shared" si="6"/>
        <v>0</v>
      </c>
      <c r="F32" s="2">
        <v>0</v>
      </c>
      <c r="G32" s="2">
        <f t="shared" si="7"/>
        <v>0</v>
      </c>
      <c r="H32" s="69">
        <v>3053.15</v>
      </c>
      <c r="I32" s="343"/>
      <c r="J32" s="69"/>
      <c r="K32" s="99"/>
      <c r="L32" s="99"/>
      <c r="M32" s="99">
        <f t="shared" si="8"/>
        <v>0</v>
      </c>
      <c r="N32" s="100"/>
      <c r="O32" s="93"/>
      <c r="P32" s="94"/>
      <c r="Q32" s="93"/>
      <c r="R32" s="94"/>
    </row>
    <row r="33" spans="1:18" x14ac:dyDescent="0.2">
      <c r="A33" s="3" t="s">
        <v>7</v>
      </c>
      <c r="B33" s="46">
        <f t="shared" si="5"/>
        <v>0</v>
      </c>
      <c r="C33" s="2">
        <f t="shared" si="5"/>
        <v>0</v>
      </c>
      <c r="D33" s="52"/>
      <c r="E33" s="16">
        <f t="shared" si="6"/>
        <v>0</v>
      </c>
      <c r="F33" s="2">
        <v>0</v>
      </c>
      <c r="G33" s="2">
        <f t="shared" si="7"/>
        <v>0</v>
      </c>
      <c r="H33" s="69">
        <v>2736.93</v>
      </c>
      <c r="I33" s="343"/>
      <c r="J33" s="69"/>
      <c r="K33" s="99"/>
      <c r="L33" s="99"/>
      <c r="M33" s="99">
        <f t="shared" si="8"/>
        <v>0</v>
      </c>
      <c r="N33" s="100"/>
      <c r="O33" s="93"/>
      <c r="P33" s="94"/>
      <c r="Q33" s="93"/>
      <c r="R33" s="94"/>
    </row>
    <row r="34" spans="1:18" x14ac:dyDescent="0.2">
      <c r="A34" s="3" t="s">
        <v>8</v>
      </c>
      <c r="B34" s="46">
        <f t="shared" si="5"/>
        <v>0</v>
      </c>
      <c r="C34" s="2">
        <f t="shared" si="5"/>
        <v>0</v>
      </c>
      <c r="D34" s="52"/>
      <c r="E34" s="16">
        <f t="shared" si="6"/>
        <v>0</v>
      </c>
      <c r="F34" s="2">
        <v>0</v>
      </c>
      <c r="G34" s="2">
        <f t="shared" si="7"/>
        <v>0</v>
      </c>
      <c r="H34" s="69">
        <v>4623.34</v>
      </c>
      <c r="I34" s="343"/>
      <c r="J34" s="69"/>
      <c r="K34" s="99"/>
      <c r="L34" s="99"/>
      <c r="M34" s="99">
        <f t="shared" si="8"/>
        <v>0</v>
      </c>
      <c r="N34" s="100"/>
      <c r="O34" s="93"/>
      <c r="P34" s="94"/>
      <c r="Q34" s="93"/>
      <c r="R34" s="94"/>
    </row>
    <row r="35" spans="1:18" x14ac:dyDescent="0.2">
      <c r="A35" s="3" t="s">
        <v>9</v>
      </c>
      <c r="B35" s="46">
        <f t="shared" si="5"/>
        <v>0</v>
      </c>
      <c r="C35" s="2">
        <f t="shared" si="5"/>
        <v>0</v>
      </c>
      <c r="D35" s="52"/>
      <c r="E35" s="16">
        <f t="shared" si="6"/>
        <v>0</v>
      </c>
      <c r="F35" s="2">
        <v>0</v>
      </c>
      <c r="G35" s="2">
        <f t="shared" si="7"/>
        <v>0</v>
      </c>
      <c r="H35" s="69">
        <v>11329.37</v>
      </c>
      <c r="I35" s="343"/>
      <c r="J35" s="69"/>
      <c r="K35" s="99">
        <v>2315</v>
      </c>
      <c r="L35" s="99">
        <v>298</v>
      </c>
      <c r="M35" s="99">
        <f t="shared" si="8"/>
        <v>2613</v>
      </c>
      <c r="N35" s="100"/>
      <c r="O35" s="93"/>
      <c r="P35" s="94"/>
      <c r="Q35" s="93"/>
      <c r="R35" s="94"/>
    </row>
    <row r="36" spans="1:18" x14ac:dyDescent="0.2">
      <c r="A36" s="3" t="s">
        <v>10</v>
      </c>
      <c r="B36" s="46">
        <f t="shared" si="5"/>
        <v>0</v>
      </c>
      <c r="C36" s="2">
        <f t="shared" si="5"/>
        <v>0</v>
      </c>
      <c r="D36" s="52"/>
      <c r="E36" s="16">
        <f t="shared" si="6"/>
        <v>0</v>
      </c>
      <c r="F36" s="2">
        <v>0</v>
      </c>
      <c r="G36" s="2">
        <f t="shared" si="7"/>
        <v>0</v>
      </c>
      <c r="H36" s="69">
        <v>19660.11</v>
      </c>
      <c r="I36" s="343"/>
      <c r="J36" s="69"/>
      <c r="K36" s="99">
        <v>2272</v>
      </c>
      <c r="L36" s="99">
        <v>310</v>
      </c>
      <c r="M36" s="99">
        <f t="shared" si="8"/>
        <v>2582</v>
      </c>
      <c r="N36" s="100"/>
      <c r="O36" s="93"/>
      <c r="P36" s="94"/>
      <c r="Q36" s="93"/>
      <c r="R36" s="94"/>
    </row>
    <row r="37" spans="1:18" x14ac:dyDescent="0.2">
      <c r="A37" s="3" t="s">
        <v>11</v>
      </c>
      <c r="B37" s="46">
        <f t="shared" si="5"/>
        <v>0</v>
      </c>
      <c r="C37" s="2">
        <f t="shared" si="5"/>
        <v>0</v>
      </c>
      <c r="D37" s="52"/>
      <c r="E37" s="16">
        <f t="shared" si="6"/>
        <v>0</v>
      </c>
      <c r="F37" s="2">
        <v>0</v>
      </c>
      <c r="G37" s="2">
        <f t="shared" si="7"/>
        <v>0</v>
      </c>
      <c r="H37" s="69">
        <f>8254.41+6324.39</f>
        <v>14578.8</v>
      </c>
      <c r="I37" s="344"/>
      <c r="J37" s="69"/>
      <c r="K37" s="26">
        <v>1952</v>
      </c>
      <c r="L37" s="26">
        <v>322</v>
      </c>
      <c r="M37" s="26">
        <f t="shared" si="8"/>
        <v>2274</v>
      </c>
      <c r="N37" s="61">
        <f>3846.01+6457.11</f>
        <v>10303.119999999999</v>
      </c>
      <c r="O37" s="93"/>
      <c r="P37" s="94"/>
      <c r="Q37" s="93"/>
      <c r="R37" s="94"/>
    </row>
    <row r="38" spans="1:18" x14ac:dyDescent="0.2">
      <c r="A38" s="4" t="s">
        <v>20</v>
      </c>
      <c r="B38" s="53">
        <f>SUM(B26:B37)</f>
        <v>0</v>
      </c>
      <c r="C38" s="5">
        <f t="shared" ref="C38:G38" si="9">SUM(C26:C37)</f>
        <v>0</v>
      </c>
      <c r="D38" s="53">
        <f t="shared" si="9"/>
        <v>0</v>
      </c>
      <c r="E38" s="5">
        <f t="shared" si="9"/>
        <v>0</v>
      </c>
      <c r="F38" s="5">
        <f t="shared" si="9"/>
        <v>0</v>
      </c>
      <c r="G38" s="5">
        <f t="shared" si="9"/>
        <v>0</v>
      </c>
      <c r="H38" s="62"/>
      <c r="I38" s="62"/>
      <c r="J38" s="62"/>
      <c r="K38" s="5"/>
      <c r="L38" s="5"/>
      <c r="M38" s="26">
        <f t="shared" si="8"/>
        <v>0</v>
      </c>
      <c r="N38" s="62"/>
      <c r="O38" s="5">
        <f t="shared" ref="O38:P38" si="10">SUM(O26:O37)</f>
        <v>147</v>
      </c>
      <c r="P38" s="5">
        <f t="shared" si="10"/>
        <v>5953.5</v>
      </c>
      <c r="Q38" s="5">
        <f t="shared" ref="Q38:R38" si="11">SUM(Q26:Q37)</f>
        <v>147</v>
      </c>
      <c r="R38" s="5">
        <f t="shared" si="11"/>
        <v>5142.0599999999995</v>
      </c>
    </row>
    <row r="44" spans="1:18" x14ac:dyDescent="0.2">
      <c r="A44" s="320"/>
      <c r="B44" s="321"/>
      <c r="C44" s="321"/>
      <c r="D44" s="317"/>
      <c r="E44" s="317"/>
      <c r="F44" s="317"/>
      <c r="G44" s="317"/>
      <c r="H44" s="318"/>
      <c r="I44" s="319"/>
      <c r="J44" s="58"/>
      <c r="K44" s="335"/>
      <c r="L44" s="335"/>
      <c r="M44" s="335"/>
      <c r="N44" s="335"/>
      <c r="O44" s="322"/>
      <c r="P44" s="322"/>
      <c r="Q44" s="322"/>
      <c r="R44" s="322"/>
    </row>
    <row r="45" spans="1:18" x14ac:dyDescent="0.2">
      <c r="A45" s="320"/>
      <c r="B45" s="7"/>
      <c r="C45" s="7"/>
      <c r="D45" s="7"/>
      <c r="E45" s="7"/>
      <c r="F45" s="7"/>
      <c r="G45" s="7"/>
      <c r="H45" s="20"/>
      <c r="I45" s="20"/>
      <c r="J45" s="20"/>
      <c r="K45" s="8"/>
      <c r="L45" s="8"/>
      <c r="M45" s="8"/>
      <c r="N45" s="8"/>
      <c r="O45" s="9"/>
      <c r="P45" s="9"/>
      <c r="Q45" s="9"/>
      <c r="R45" s="9"/>
    </row>
    <row r="46" spans="1:18" x14ac:dyDescent="0.2">
      <c r="A46" s="3"/>
      <c r="B46" s="2"/>
      <c r="C46" s="2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  <row r="47" spans="1:18" x14ac:dyDescent="0.2">
      <c r="A47" s="3"/>
      <c r="B47" s="2"/>
      <c r="C47" s="2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</row>
    <row r="48" spans="1:18" x14ac:dyDescent="0.2">
      <c r="A48" s="3"/>
      <c r="B48" s="2"/>
      <c r="C48" s="2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1:18" x14ac:dyDescent="0.2">
      <c r="A49" s="3"/>
      <c r="B49" s="2"/>
      <c r="C49" s="2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</row>
    <row r="50" spans="1:18" x14ac:dyDescent="0.2">
      <c r="A50" s="3"/>
      <c r="B50" s="2"/>
      <c r="C50" s="2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</row>
    <row r="51" spans="1:18" x14ac:dyDescent="0.2">
      <c r="A51" s="3"/>
      <c r="B51" s="2"/>
      <c r="C51" s="2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</row>
    <row r="52" spans="1:18" x14ac:dyDescent="0.2">
      <c r="A52" s="3"/>
      <c r="B52" s="2"/>
      <c r="C52" s="2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</row>
    <row r="53" spans="1:18" x14ac:dyDescent="0.2">
      <c r="A53" s="3"/>
      <c r="B53" s="2"/>
      <c r="C53" s="2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x14ac:dyDescent="0.2">
      <c r="A54" s="3"/>
      <c r="B54" s="2"/>
      <c r="C54" s="2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x14ac:dyDescent="0.2">
      <c r="A55" s="3"/>
      <c r="B55" s="2"/>
      <c r="C55" s="2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</row>
    <row r="56" spans="1:18" x14ac:dyDescent="0.2">
      <c r="A56" s="3"/>
      <c r="B56" s="2"/>
      <c r="C56" s="2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</row>
    <row r="57" spans="1:18" x14ac:dyDescent="0.2">
      <c r="A57" s="3"/>
      <c r="B57" s="2"/>
      <c r="C57" s="2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1:18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</sheetData>
  <mergeCells count="47">
    <mergeCell ref="Q44:R44"/>
    <mergeCell ref="Q5:Q16"/>
    <mergeCell ref="R5:R16"/>
    <mergeCell ref="O26:O29"/>
    <mergeCell ref="P26:P29"/>
    <mergeCell ref="Q26:Q29"/>
    <mergeCell ref="R26:R29"/>
    <mergeCell ref="O23:P23"/>
    <mergeCell ref="O24:P24"/>
    <mergeCell ref="O44:P44"/>
    <mergeCell ref="F24:G24"/>
    <mergeCell ref="H24:I24"/>
    <mergeCell ref="Q2:R2"/>
    <mergeCell ref="Q3:R3"/>
    <mergeCell ref="Q23:R23"/>
    <mergeCell ref="Q24:R24"/>
    <mergeCell ref="K2:N2"/>
    <mergeCell ref="O5:O16"/>
    <mergeCell ref="P5:P16"/>
    <mergeCell ref="O2:P2"/>
    <mergeCell ref="K3:N3"/>
    <mergeCell ref="O3:P3"/>
    <mergeCell ref="K44:N44"/>
    <mergeCell ref="I26:I37"/>
    <mergeCell ref="A23:A25"/>
    <mergeCell ref="B23:C23"/>
    <mergeCell ref="D23:E23"/>
    <mergeCell ref="F23:G23"/>
    <mergeCell ref="H23:I23"/>
    <mergeCell ref="B24:C24"/>
    <mergeCell ref="D24:E24"/>
    <mergeCell ref="K24:N24"/>
    <mergeCell ref="K23:N23"/>
    <mergeCell ref="A44:A45"/>
    <mergeCell ref="B44:C44"/>
    <mergeCell ref="D44:E44"/>
    <mergeCell ref="F44:G44"/>
    <mergeCell ref="H44:I44"/>
    <mergeCell ref="A2:A4"/>
    <mergeCell ref="B2:C2"/>
    <mergeCell ref="D2:E2"/>
    <mergeCell ref="F2:G2"/>
    <mergeCell ref="H2:I2"/>
    <mergeCell ref="B3:C3"/>
    <mergeCell ref="D3:E3"/>
    <mergeCell ref="F3:G3"/>
    <mergeCell ref="H3:I3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8006B-F2E4-456C-B3D3-FF013C789B4A}">
  <dimension ref="A1:AB58"/>
  <sheetViews>
    <sheetView topLeftCell="A25" workbookViewId="0">
      <selection activeCell="O58" sqref="A43:O58"/>
    </sheetView>
  </sheetViews>
  <sheetFormatPr defaultRowHeight="12.75" x14ac:dyDescent="0.2"/>
  <cols>
    <col min="1" max="1" width="12.7109375" style="161" customWidth="1"/>
    <col min="2" max="15" width="11.7109375" style="161" customWidth="1"/>
    <col min="16" max="16" width="10.85546875" style="161" customWidth="1"/>
    <col min="17" max="17" width="11" style="161" customWidth="1"/>
    <col min="18" max="18" width="9.140625" style="161"/>
    <col min="19" max="19" width="11.42578125" style="161" customWidth="1"/>
    <col min="20" max="20" width="11.28515625" style="161" customWidth="1"/>
    <col min="21" max="21" width="12.5703125" style="161" customWidth="1"/>
    <col min="22" max="22" width="12.28515625" style="161" customWidth="1"/>
    <col min="23" max="24" width="12.140625" style="161" customWidth="1"/>
    <col min="25" max="16384" width="9.140625" style="161"/>
  </cols>
  <sheetData>
    <row r="1" spans="1:28" ht="15" x14ac:dyDescent="0.2">
      <c r="A1" s="165" t="s">
        <v>212</v>
      </c>
      <c r="B1" s="163"/>
      <c r="C1" s="163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73" t="s">
        <v>33</v>
      </c>
    </row>
    <row r="2" spans="1:28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49" t="s">
        <v>88</v>
      </c>
      <c r="I2" s="350"/>
      <c r="J2" s="351" t="s">
        <v>87</v>
      </c>
      <c r="K2" s="352"/>
      <c r="L2" s="352"/>
      <c r="M2" s="353"/>
      <c r="N2" s="362" t="s">
        <v>165</v>
      </c>
      <c r="O2" s="362"/>
      <c r="P2" s="365"/>
      <c r="Q2" s="365"/>
      <c r="S2" s="349" t="s">
        <v>85</v>
      </c>
      <c r="T2" s="350"/>
      <c r="U2" s="351" t="s">
        <v>84</v>
      </c>
      <c r="V2" s="352"/>
      <c r="W2" s="352"/>
      <c r="X2" s="353"/>
      <c r="Y2" s="362" t="s">
        <v>164</v>
      </c>
      <c r="Z2" s="362"/>
      <c r="AA2" s="365"/>
      <c r="AB2" s="365"/>
    </row>
    <row r="3" spans="1:28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29</v>
      </c>
      <c r="I3" s="350"/>
      <c r="J3" s="355" t="s">
        <v>14</v>
      </c>
      <c r="K3" s="356"/>
      <c r="L3" s="356"/>
      <c r="M3" s="357"/>
      <c r="N3" s="361" t="s">
        <v>62</v>
      </c>
      <c r="O3" s="361"/>
      <c r="P3" s="361" t="s">
        <v>63</v>
      </c>
      <c r="Q3" s="361"/>
      <c r="S3" s="354" t="s">
        <v>29</v>
      </c>
      <c r="T3" s="350"/>
      <c r="U3" s="355" t="s">
        <v>14</v>
      </c>
      <c r="V3" s="356"/>
      <c r="W3" s="356"/>
      <c r="X3" s="357"/>
      <c r="Y3" s="361" t="s">
        <v>62</v>
      </c>
      <c r="Z3" s="361"/>
      <c r="AA3" s="361" t="s">
        <v>63</v>
      </c>
      <c r="AB3" s="361"/>
    </row>
    <row r="4" spans="1:28" ht="14.25" customHeight="1" x14ac:dyDescent="0.2">
      <c r="A4" s="368"/>
      <c r="B4" s="159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5" t="s">
        <v>18</v>
      </c>
      <c r="I4" s="155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  <c r="P4" s="153" t="s">
        <v>23</v>
      </c>
      <c r="Q4" s="153" t="s">
        <v>24</v>
      </c>
      <c r="S4" s="155" t="s">
        <v>18</v>
      </c>
      <c r="T4" s="155" t="s">
        <v>17</v>
      </c>
      <c r="U4" s="152" t="s">
        <v>35</v>
      </c>
      <c r="V4" s="152" t="s">
        <v>36</v>
      </c>
      <c r="W4" s="152" t="s">
        <v>37</v>
      </c>
      <c r="X4" s="152" t="s">
        <v>17</v>
      </c>
      <c r="Y4" s="153" t="s">
        <v>23</v>
      </c>
      <c r="Z4" s="153" t="s">
        <v>24</v>
      </c>
      <c r="AA4" s="153" t="s">
        <v>23</v>
      </c>
      <c r="AB4" s="153" t="s">
        <v>24</v>
      </c>
    </row>
    <row r="5" spans="1:28" x14ac:dyDescent="0.2">
      <c r="A5" s="149" t="s">
        <v>0</v>
      </c>
      <c r="B5" s="158"/>
      <c r="C5" s="148"/>
      <c r="D5" s="169"/>
      <c r="E5" s="154"/>
      <c r="F5" s="148"/>
      <c r="G5" s="148"/>
      <c r="H5" s="148">
        <v>229</v>
      </c>
      <c r="I5" s="148">
        <v>308.04000000000002</v>
      </c>
      <c r="J5" s="111">
        <v>2490</v>
      </c>
      <c r="K5" s="111">
        <v>496</v>
      </c>
      <c r="L5" s="111">
        <v>2986</v>
      </c>
      <c r="M5" s="111">
        <v>11082.89</v>
      </c>
      <c r="N5" s="358">
        <v>947</v>
      </c>
      <c r="O5" s="358">
        <f>N5*36.5</f>
        <v>34565.5</v>
      </c>
      <c r="P5" s="358">
        <v>947</v>
      </c>
      <c r="Q5" s="358">
        <f>P5*31.74</f>
        <v>30057.78</v>
      </c>
      <c r="S5" s="148">
        <v>49680</v>
      </c>
      <c r="T5" s="148">
        <v>37116.5</v>
      </c>
      <c r="U5" s="111">
        <v>3261</v>
      </c>
      <c r="V5" s="111">
        <v>0</v>
      </c>
      <c r="W5" s="111">
        <v>3261</v>
      </c>
      <c r="X5" s="111">
        <v>12708.2</v>
      </c>
      <c r="Y5" s="358">
        <f>895-665</f>
        <v>230</v>
      </c>
      <c r="Z5" s="358">
        <f>Y5*36.5</f>
        <v>8395</v>
      </c>
      <c r="AA5" s="358">
        <f>895-665</f>
        <v>230</v>
      </c>
      <c r="AB5" s="358">
        <f>AA5*31.74</f>
        <v>7300.2</v>
      </c>
    </row>
    <row r="6" spans="1:28" x14ac:dyDescent="0.2">
      <c r="A6" s="149" t="s">
        <v>1</v>
      </c>
      <c r="B6" s="158"/>
      <c r="C6" s="148"/>
      <c r="D6" s="170"/>
      <c r="E6" s="154"/>
      <c r="F6" s="148"/>
      <c r="G6" s="148"/>
      <c r="H6" s="148">
        <v>273</v>
      </c>
      <c r="I6" s="148">
        <v>353.34</v>
      </c>
      <c r="J6" s="111">
        <v>2193</v>
      </c>
      <c r="K6" s="111">
        <v>412</v>
      </c>
      <c r="L6" s="111">
        <v>2605</v>
      </c>
      <c r="M6" s="111">
        <v>9938.0300000000007</v>
      </c>
      <c r="N6" s="359"/>
      <c r="O6" s="359"/>
      <c r="P6" s="359"/>
      <c r="Q6" s="359"/>
      <c r="S6" s="148">
        <v>41052</v>
      </c>
      <c r="T6" s="148">
        <v>30775.31</v>
      </c>
      <c r="U6" s="111">
        <v>2456</v>
      </c>
      <c r="V6" s="111">
        <v>0</v>
      </c>
      <c r="W6" s="111">
        <v>2456</v>
      </c>
      <c r="X6" s="111">
        <v>9693.5</v>
      </c>
      <c r="Y6" s="359"/>
      <c r="Z6" s="359"/>
      <c r="AA6" s="359"/>
      <c r="AB6" s="359"/>
    </row>
    <row r="7" spans="1:28" x14ac:dyDescent="0.2">
      <c r="A7" s="149" t="s">
        <v>2</v>
      </c>
      <c r="B7" s="158"/>
      <c r="C7" s="148"/>
      <c r="D7" s="170"/>
      <c r="E7" s="154"/>
      <c r="F7" s="148"/>
      <c r="G7" s="148"/>
      <c r="H7" s="148">
        <v>218</v>
      </c>
      <c r="I7" s="148">
        <v>296.17</v>
      </c>
      <c r="J7" s="111">
        <v>2562</v>
      </c>
      <c r="K7" s="111">
        <v>527</v>
      </c>
      <c r="L7" s="111">
        <v>3089</v>
      </c>
      <c r="M7" s="111">
        <v>11375.42</v>
      </c>
      <c r="N7" s="359"/>
      <c r="O7" s="359"/>
      <c r="P7" s="359"/>
      <c r="Q7" s="359"/>
      <c r="S7" s="148">
        <v>31516</v>
      </c>
      <c r="T7" s="148">
        <v>24103.3</v>
      </c>
      <c r="U7" s="111">
        <v>3095</v>
      </c>
      <c r="V7" s="111">
        <v>0</v>
      </c>
      <c r="W7" s="111">
        <v>3095</v>
      </c>
      <c r="X7" s="111">
        <v>12086.53</v>
      </c>
      <c r="Y7" s="359"/>
      <c r="Z7" s="359"/>
      <c r="AA7" s="359"/>
      <c r="AB7" s="359"/>
    </row>
    <row r="8" spans="1:28" x14ac:dyDescent="0.2">
      <c r="A8" s="149" t="s">
        <v>3</v>
      </c>
      <c r="B8" s="158"/>
      <c r="C8" s="148"/>
      <c r="D8" s="170"/>
      <c r="E8" s="154"/>
      <c r="F8" s="148"/>
      <c r="G8" s="148"/>
      <c r="H8" s="148">
        <v>153</v>
      </c>
      <c r="I8" s="148">
        <v>227.56</v>
      </c>
      <c r="J8" s="111">
        <v>2203</v>
      </c>
      <c r="K8" s="111">
        <v>452</v>
      </c>
      <c r="L8" s="111">
        <v>2655</v>
      </c>
      <c r="M8" s="111">
        <v>10028.950000000001</v>
      </c>
      <c r="N8" s="359"/>
      <c r="O8" s="359"/>
      <c r="P8" s="359"/>
      <c r="Q8" s="359"/>
      <c r="S8" s="148">
        <v>17773</v>
      </c>
      <c r="T8" s="148">
        <v>14488.88</v>
      </c>
      <c r="U8" s="111">
        <v>2674</v>
      </c>
      <c r="V8" s="111">
        <v>0</v>
      </c>
      <c r="W8" s="111">
        <v>2674</v>
      </c>
      <c r="X8" s="111">
        <v>10509.89</v>
      </c>
      <c r="Y8" s="359"/>
      <c r="Z8" s="359"/>
      <c r="AA8" s="359"/>
      <c r="AB8" s="359"/>
    </row>
    <row r="9" spans="1:28" x14ac:dyDescent="0.2">
      <c r="A9" s="149" t="s">
        <v>4</v>
      </c>
      <c r="B9" s="158"/>
      <c r="C9" s="148"/>
      <c r="D9" s="170"/>
      <c r="E9" s="154"/>
      <c r="F9" s="148"/>
      <c r="G9" s="148"/>
      <c r="H9" s="148">
        <v>142</v>
      </c>
      <c r="I9" s="148">
        <v>216.13</v>
      </c>
      <c r="J9" s="111">
        <v>2537</v>
      </c>
      <c r="K9" s="111">
        <v>430</v>
      </c>
      <c r="L9" s="111">
        <v>2967</v>
      </c>
      <c r="M9" s="111">
        <v>11152.37</v>
      </c>
      <c r="N9" s="359"/>
      <c r="O9" s="359"/>
      <c r="P9" s="359"/>
      <c r="Q9" s="359"/>
      <c r="S9" s="148">
        <v>15075</v>
      </c>
      <c r="T9" s="148">
        <v>12601.15</v>
      </c>
      <c r="U9" s="111">
        <v>2896</v>
      </c>
      <c r="V9" s="111">
        <v>0</v>
      </c>
      <c r="W9" s="111">
        <v>2896</v>
      </c>
      <c r="X9" s="111">
        <v>11341.28</v>
      </c>
      <c r="Y9" s="359"/>
      <c r="Z9" s="359"/>
      <c r="AA9" s="359"/>
      <c r="AB9" s="359"/>
    </row>
    <row r="10" spans="1:28" x14ac:dyDescent="0.2">
      <c r="A10" s="149" t="s">
        <v>5</v>
      </c>
      <c r="B10" s="158"/>
      <c r="C10" s="148"/>
      <c r="D10" s="170"/>
      <c r="E10" s="154"/>
      <c r="F10" s="148"/>
      <c r="G10" s="148"/>
      <c r="H10" s="148">
        <v>55</v>
      </c>
      <c r="I10" s="148">
        <v>124.65</v>
      </c>
      <c r="J10" s="111">
        <v>2213</v>
      </c>
      <c r="K10" s="111">
        <v>514</v>
      </c>
      <c r="L10" s="111">
        <v>2727</v>
      </c>
      <c r="M10" s="111">
        <v>10150.85</v>
      </c>
      <c r="N10" s="359"/>
      <c r="O10" s="359"/>
      <c r="P10" s="359"/>
      <c r="Q10" s="359"/>
      <c r="S10" s="148">
        <v>2720</v>
      </c>
      <c r="T10" s="148">
        <v>3957.35</v>
      </c>
      <c r="U10" s="111">
        <v>1678</v>
      </c>
      <c r="V10" s="111">
        <v>0</v>
      </c>
      <c r="W10" s="111">
        <v>1678</v>
      </c>
      <c r="X10" s="111">
        <v>6779.95</v>
      </c>
      <c r="Y10" s="359"/>
      <c r="Z10" s="359"/>
      <c r="AA10" s="359"/>
      <c r="AB10" s="359"/>
    </row>
    <row r="11" spans="1:28" x14ac:dyDescent="0.2">
      <c r="A11" s="149" t="s">
        <v>6</v>
      </c>
      <c r="B11" s="158"/>
      <c r="C11" s="148"/>
      <c r="D11" s="170"/>
      <c r="E11" s="154"/>
      <c r="F11" s="148"/>
      <c r="G11" s="148"/>
      <c r="H11" s="148">
        <v>76</v>
      </c>
      <c r="I11" s="148">
        <v>147.53</v>
      </c>
      <c r="J11" s="111">
        <v>418</v>
      </c>
      <c r="K11" s="111">
        <v>143</v>
      </c>
      <c r="L11" s="111">
        <v>561</v>
      </c>
      <c r="M11" s="111">
        <v>3424.12</v>
      </c>
      <c r="N11" s="359"/>
      <c r="O11" s="359"/>
      <c r="P11" s="359"/>
      <c r="Q11" s="359"/>
      <c r="S11" s="148">
        <v>3365</v>
      </c>
      <c r="T11" s="148">
        <v>4408.2700000000004</v>
      </c>
      <c r="U11" s="111">
        <v>882</v>
      </c>
      <c r="V11" s="111">
        <v>0</v>
      </c>
      <c r="W11" s="111">
        <v>882</v>
      </c>
      <c r="X11" s="111">
        <v>3798.97</v>
      </c>
      <c r="Y11" s="359"/>
      <c r="Z11" s="359"/>
      <c r="AA11" s="359"/>
      <c r="AB11" s="359"/>
    </row>
    <row r="12" spans="1:28" x14ac:dyDescent="0.2">
      <c r="A12" s="149" t="s">
        <v>7</v>
      </c>
      <c r="B12" s="158"/>
      <c r="C12" s="148"/>
      <c r="D12" s="170"/>
      <c r="E12" s="154"/>
      <c r="F12" s="148"/>
      <c r="G12" s="148"/>
      <c r="H12" s="148">
        <v>66</v>
      </c>
      <c r="I12" s="148">
        <v>136.08000000000001</v>
      </c>
      <c r="J12" s="111">
        <v>1009</v>
      </c>
      <c r="K12" s="111">
        <v>183</v>
      </c>
      <c r="L12" s="111">
        <v>1192</v>
      </c>
      <c r="M12" s="111">
        <v>5523.14</v>
      </c>
      <c r="N12" s="359"/>
      <c r="O12" s="359"/>
      <c r="P12" s="359"/>
      <c r="Q12" s="359"/>
      <c r="S12" s="148">
        <v>3113</v>
      </c>
      <c r="T12" s="148">
        <v>4232.74</v>
      </c>
      <c r="U12" s="111">
        <v>1022</v>
      </c>
      <c r="V12" s="111">
        <v>0</v>
      </c>
      <c r="W12" s="111">
        <v>1022</v>
      </c>
      <c r="X12" s="111">
        <v>4323.26</v>
      </c>
      <c r="Y12" s="359"/>
      <c r="Z12" s="359"/>
      <c r="AA12" s="359"/>
      <c r="AB12" s="359"/>
    </row>
    <row r="13" spans="1:28" x14ac:dyDescent="0.2">
      <c r="A13" s="149" t="s">
        <v>8</v>
      </c>
      <c r="B13" s="158"/>
      <c r="C13" s="148"/>
      <c r="D13" s="170"/>
      <c r="E13" s="154"/>
      <c r="F13" s="148"/>
      <c r="G13" s="148"/>
      <c r="H13" s="148">
        <v>98</v>
      </c>
      <c r="I13" s="148">
        <v>170</v>
      </c>
      <c r="J13" s="111">
        <v>2486</v>
      </c>
      <c r="K13" s="111">
        <v>486</v>
      </c>
      <c r="L13" s="111">
        <v>2972</v>
      </c>
      <c r="M13" s="111">
        <v>11054.98</v>
      </c>
      <c r="N13" s="359"/>
      <c r="O13" s="359"/>
      <c r="P13" s="359"/>
      <c r="Q13" s="359"/>
      <c r="S13" s="148">
        <v>7538</v>
      </c>
      <c r="T13" s="148">
        <v>7327.74</v>
      </c>
      <c r="U13" s="111">
        <v>2678</v>
      </c>
      <c r="V13" s="111">
        <v>0</v>
      </c>
      <c r="W13" s="111">
        <v>2678</v>
      </c>
      <c r="X13" s="111">
        <v>10524.89</v>
      </c>
      <c r="Y13" s="359"/>
      <c r="Z13" s="359"/>
      <c r="AA13" s="359"/>
      <c r="AB13" s="359"/>
    </row>
    <row r="14" spans="1:28" x14ac:dyDescent="0.2">
      <c r="A14" s="149" t="s">
        <v>9</v>
      </c>
      <c r="B14" s="158"/>
      <c r="C14" s="148"/>
      <c r="D14" s="170"/>
      <c r="E14" s="154"/>
      <c r="F14" s="148"/>
      <c r="G14" s="148"/>
      <c r="H14" s="148">
        <v>147</v>
      </c>
      <c r="I14" s="148">
        <v>219</v>
      </c>
      <c r="J14" s="111">
        <v>2609</v>
      </c>
      <c r="K14" s="111">
        <v>471</v>
      </c>
      <c r="L14" s="111">
        <v>3080</v>
      </c>
      <c r="M14" s="111">
        <v>11458.97</v>
      </c>
      <c r="N14" s="359"/>
      <c r="O14" s="359"/>
      <c r="P14" s="359"/>
      <c r="Q14" s="359"/>
      <c r="S14" s="148">
        <v>15905</v>
      </c>
      <c r="T14" s="148">
        <v>13181.99</v>
      </c>
      <c r="U14" s="111">
        <v>3345</v>
      </c>
      <c r="V14" s="111">
        <v>0</v>
      </c>
      <c r="W14" s="111">
        <v>3345</v>
      </c>
      <c r="X14" s="111">
        <v>13022.77</v>
      </c>
      <c r="Y14" s="359"/>
      <c r="Z14" s="359"/>
      <c r="AA14" s="359"/>
      <c r="AB14" s="359"/>
    </row>
    <row r="15" spans="1:28" x14ac:dyDescent="0.2">
      <c r="A15" s="149" t="s">
        <v>10</v>
      </c>
      <c r="B15" s="158"/>
      <c r="C15" s="148"/>
      <c r="D15" s="170"/>
      <c r="E15" s="154"/>
      <c r="F15" s="148"/>
      <c r="G15" s="148"/>
      <c r="H15" s="148">
        <v>126</v>
      </c>
      <c r="I15" s="148">
        <v>202</v>
      </c>
      <c r="J15" s="111">
        <v>2674</v>
      </c>
      <c r="K15" s="111">
        <v>519</v>
      </c>
      <c r="L15" s="111">
        <v>3193</v>
      </c>
      <c r="M15" s="111">
        <v>11751.25</v>
      </c>
      <c r="N15" s="359"/>
      <c r="O15" s="359"/>
      <c r="P15" s="359"/>
      <c r="Q15" s="359"/>
      <c r="S15" s="148">
        <v>30041</v>
      </c>
      <c r="T15" s="148">
        <v>23071.53</v>
      </c>
      <c r="U15" s="111">
        <v>3840</v>
      </c>
      <c r="V15" s="111">
        <v>0</v>
      </c>
      <c r="W15" s="111">
        <v>3840</v>
      </c>
      <c r="X15" s="111">
        <v>14876.5</v>
      </c>
      <c r="Y15" s="359"/>
      <c r="Z15" s="359"/>
      <c r="AA15" s="359"/>
      <c r="AB15" s="359"/>
    </row>
    <row r="16" spans="1:28" x14ac:dyDescent="0.2">
      <c r="A16" s="149" t="s">
        <v>11</v>
      </c>
      <c r="B16" s="158"/>
      <c r="C16" s="148"/>
      <c r="D16" s="170"/>
      <c r="E16" s="154"/>
      <c r="F16" s="148"/>
      <c r="G16" s="148"/>
      <c r="H16" s="148">
        <v>175</v>
      </c>
      <c r="I16" s="148">
        <v>251</v>
      </c>
      <c r="J16" s="111">
        <v>2108</v>
      </c>
      <c r="K16" s="111">
        <v>436</v>
      </c>
      <c r="L16" s="111">
        <v>2544</v>
      </c>
      <c r="M16" s="111">
        <v>9678.0499999999993</v>
      </c>
      <c r="N16" s="360"/>
      <c r="O16" s="360"/>
      <c r="P16" s="360"/>
      <c r="Q16" s="360"/>
      <c r="S16" s="148">
        <v>43019</v>
      </c>
      <c r="T16" s="148">
        <v>32150.97</v>
      </c>
      <c r="U16" s="111">
        <v>2915</v>
      </c>
      <c r="V16" s="111">
        <v>0</v>
      </c>
      <c r="W16" s="111">
        <v>2915</v>
      </c>
      <c r="X16" s="111">
        <v>11412.43</v>
      </c>
      <c r="Y16" s="360"/>
      <c r="Z16" s="360"/>
      <c r="AA16" s="360"/>
      <c r="AB16" s="360"/>
    </row>
    <row r="17" spans="1:28" x14ac:dyDescent="0.2">
      <c r="A17" s="104" t="s">
        <v>20</v>
      </c>
      <c r="B17" s="112">
        <v>0</v>
      </c>
      <c r="C17" s="103">
        <v>0</v>
      </c>
      <c r="D17" s="112">
        <v>0</v>
      </c>
      <c r="E17" s="103">
        <v>0</v>
      </c>
      <c r="F17" s="103">
        <v>0</v>
      </c>
      <c r="G17" s="103">
        <v>0</v>
      </c>
      <c r="H17" s="103">
        <v>1758</v>
      </c>
      <c r="I17" s="103">
        <v>2651.5</v>
      </c>
      <c r="J17" s="103">
        <v>25502</v>
      </c>
      <c r="K17" s="103">
        <v>5069</v>
      </c>
      <c r="L17" s="103">
        <v>30571</v>
      </c>
      <c r="M17" s="103">
        <v>116619.01999999999</v>
      </c>
      <c r="N17" s="103">
        <f>SUM(N5)</f>
        <v>947</v>
      </c>
      <c r="O17" s="103">
        <f>SUM(O5)</f>
        <v>34565.5</v>
      </c>
      <c r="P17" s="103">
        <f t="shared" ref="P17:Q17" si="0">SUM(P5)</f>
        <v>947</v>
      </c>
      <c r="Q17" s="103">
        <f t="shared" si="0"/>
        <v>30057.78</v>
      </c>
      <c r="S17" s="103">
        <v>260797</v>
      </c>
      <c r="T17" s="103">
        <v>207415.72999999998</v>
      </c>
      <c r="U17" s="103">
        <v>30742</v>
      </c>
      <c r="V17" s="103">
        <v>0</v>
      </c>
      <c r="W17" s="103">
        <v>30742</v>
      </c>
      <c r="X17" s="103">
        <v>121078.16999999998</v>
      </c>
      <c r="Y17" s="103">
        <f>SUM(Y5)</f>
        <v>230</v>
      </c>
      <c r="Z17" s="103">
        <f>SUM(Z5)</f>
        <v>8395</v>
      </c>
      <c r="AA17" s="103">
        <f t="shared" ref="AA17:AB17" si="1">SUM(AA5)</f>
        <v>230</v>
      </c>
      <c r="AB17" s="103">
        <f t="shared" si="1"/>
        <v>7300.2</v>
      </c>
    </row>
    <row r="18" spans="1:28" x14ac:dyDescent="0.2">
      <c r="A18" s="162"/>
      <c r="B18" s="162" t="s">
        <v>83</v>
      </c>
      <c r="C18" s="162"/>
      <c r="D18" s="162"/>
      <c r="E18" s="166"/>
      <c r="F18" s="171"/>
      <c r="G18" s="172"/>
      <c r="H18" s="120"/>
      <c r="I18" s="172"/>
      <c r="J18" s="162"/>
      <c r="K18" s="167"/>
      <c r="L18" s="167"/>
      <c r="M18" s="168"/>
      <c r="N18" s="162" t="s">
        <v>67</v>
      </c>
      <c r="O18" s="168"/>
      <c r="P18" s="138" t="s">
        <v>82</v>
      </c>
      <c r="S18" s="136"/>
      <c r="U18" s="162"/>
    </row>
    <row r="19" spans="1:28" x14ac:dyDescent="0.2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L19" s="162"/>
      <c r="M19" s="162"/>
      <c r="N19" s="133" t="s">
        <v>65</v>
      </c>
    </row>
    <row r="21" spans="1:28" x14ac:dyDescent="0.2">
      <c r="N21" s="138"/>
      <c r="O21" s="162"/>
    </row>
    <row r="23" spans="1:28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351" t="s">
        <v>87</v>
      </c>
      <c r="K23" s="363"/>
      <c r="L23" s="363"/>
      <c r="M23" s="364"/>
      <c r="N23" s="362" t="s">
        <v>86</v>
      </c>
      <c r="O23" s="362"/>
      <c r="P23" s="361"/>
      <c r="Q23" s="361"/>
      <c r="S23" s="349" t="s">
        <v>85</v>
      </c>
      <c r="T23" s="350"/>
      <c r="U23" s="351" t="s">
        <v>84</v>
      </c>
      <c r="V23" s="352"/>
      <c r="W23" s="352"/>
      <c r="X23" s="353"/>
    </row>
    <row r="24" spans="1:28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62</v>
      </c>
      <c r="O24" s="361"/>
      <c r="P24" s="361" t="s">
        <v>63</v>
      </c>
      <c r="Q24" s="361"/>
      <c r="S24" s="354" t="s">
        <v>29</v>
      </c>
      <c r="T24" s="350"/>
      <c r="U24" s="355" t="s">
        <v>14</v>
      </c>
      <c r="V24" s="356"/>
      <c r="W24" s="356"/>
      <c r="X24" s="357"/>
    </row>
    <row r="25" spans="1:28" ht="14.25" x14ac:dyDescent="0.2">
      <c r="A25" s="368"/>
      <c r="B25" s="159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5" t="s">
        <v>18</v>
      </c>
      <c r="I25" s="155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24</v>
      </c>
      <c r="P25" s="153" t="s">
        <v>23</v>
      </c>
      <c r="Q25" s="153" t="s">
        <v>24</v>
      </c>
      <c r="S25" s="155" t="s">
        <v>18</v>
      </c>
      <c r="T25" s="155" t="s">
        <v>17</v>
      </c>
      <c r="U25" s="152" t="s">
        <v>35</v>
      </c>
      <c r="V25" s="152" t="s">
        <v>36</v>
      </c>
      <c r="W25" s="152" t="s">
        <v>37</v>
      </c>
      <c r="X25" s="152" t="s">
        <v>17</v>
      </c>
    </row>
    <row r="26" spans="1:28" x14ac:dyDescent="0.2">
      <c r="A26" s="149" t="s">
        <v>0</v>
      </c>
      <c r="B26" s="158"/>
      <c r="C26" s="148"/>
      <c r="D26" s="169"/>
      <c r="E26" s="154"/>
      <c r="F26" s="148"/>
      <c r="G26" s="148"/>
      <c r="H26" s="148"/>
      <c r="I26" s="148"/>
      <c r="J26" s="111">
        <v>2673</v>
      </c>
      <c r="K26" s="111">
        <v>425</v>
      </c>
      <c r="L26" s="111">
        <v>3098</v>
      </c>
      <c r="M26" s="111">
        <v>13951.16</v>
      </c>
      <c r="N26" s="114"/>
      <c r="O26" s="154"/>
      <c r="P26" s="114"/>
      <c r="Q26" s="154"/>
      <c r="S26" s="148"/>
      <c r="T26" s="148"/>
      <c r="U26" s="111">
        <v>3680</v>
      </c>
      <c r="V26" s="111">
        <v>0</v>
      </c>
      <c r="W26" s="111">
        <v>3680</v>
      </c>
      <c r="X26" s="111">
        <v>16926.560000000001</v>
      </c>
    </row>
    <row r="27" spans="1:28" x14ac:dyDescent="0.2">
      <c r="A27" s="149" t="s">
        <v>1</v>
      </c>
      <c r="B27" s="158"/>
      <c r="C27" s="148"/>
      <c r="D27" s="170"/>
      <c r="E27" s="154"/>
      <c r="F27" s="148"/>
      <c r="G27" s="148"/>
      <c r="H27" s="148"/>
      <c r="I27" s="148"/>
      <c r="J27" s="111">
        <v>2731</v>
      </c>
      <c r="K27" s="111">
        <v>580</v>
      </c>
      <c r="L27" s="111">
        <v>3311</v>
      </c>
      <c r="M27" s="111">
        <v>14484.57</v>
      </c>
      <c r="N27" s="114"/>
      <c r="O27" s="154"/>
      <c r="P27" s="114"/>
      <c r="Q27" s="154"/>
      <c r="S27" s="148"/>
      <c r="T27" s="148"/>
      <c r="U27" s="111">
        <v>3425</v>
      </c>
      <c r="V27" s="111">
        <v>0</v>
      </c>
      <c r="W27" s="111">
        <v>3425</v>
      </c>
      <c r="X27" s="111">
        <v>15788.97</v>
      </c>
    </row>
    <row r="28" spans="1:28" x14ac:dyDescent="0.2">
      <c r="A28" s="149" t="s">
        <v>2</v>
      </c>
      <c r="B28" s="158"/>
      <c r="C28" s="148"/>
      <c r="D28" s="170"/>
      <c r="E28" s="154"/>
      <c r="F28" s="148"/>
      <c r="G28" s="148"/>
      <c r="H28" s="148"/>
      <c r="I28" s="148"/>
      <c r="J28" s="111">
        <v>1041</v>
      </c>
      <c r="K28" s="111">
        <v>360</v>
      </c>
      <c r="L28" s="111">
        <v>1401</v>
      </c>
      <c r="M28" s="111">
        <v>6892.21</v>
      </c>
      <c r="N28" s="114"/>
      <c r="O28" s="154"/>
      <c r="P28" s="114"/>
      <c r="Q28" s="154"/>
      <c r="S28" s="148"/>
      <c r="T28" s="148"/>
      <c r="U28" s="111">
        <v>1138</v>
      </c>
      <c r="V28" s="111">
        <v>0</v>
      </c>
      <c r="W28" s="111">
        <v>1138</v>
      </c>
      <c r="X28" s="111">
        <v>5586.01</v>
      </c>
    </row>
    <row r="29" spans="1:28" x14ac:dyDescent="0.2">
      <c r="A29" s="149" t="s">
        <v>3</v>
      </c>
      <c r="B29" s="158"/>
      <c r="C29" s="148"/>
      <c r="D29" s="170"/>
      <c r="E29" s="154"/>
      <c r="F29" s="148"/>
      <c r="G29" s="148"/>
      <c r="H29" s="148"/>
      <c r="I29" s="148"/>
      <c r="J29" s="134"/>
      <c r="K29" s="134"/>
      <c r="L29" s="134"/>
      <c r="M29" s="134"/>
      <c r="N29" s="114"/>
      <c r="O29" s="154"/>
      <c r="P29" s="114"/>
      <c r="Q29" s="154"/>
      <c r="S29" s="148"/>
      <c r="T29" s="148"/>
      <c r="U29" s="134"/>
      <c r="V29" s="134"/>
      <c r="W29" s="134"/>
      <c r="X29" s="134"/>
    </row>
    <row r="30" spans="1:28" x14ac:dyDescent="0.2">
      <c r="A30" s="149" t="s">
        <v>4</v>
      </c>
      <c r="B30" s="158"/>
      <c r="C30" s="148"/>
      <c r="D30" s="170"/>
      <c r="E30" s="154"/>
      <c r="F30" s="148"/>
      <c r="G30" s="148"/>
      <c r="H30" s="148"/>
      <c r="I30" s="148"/>
      <c r="J30" s="111">
        <v>820</v>
      </c>
      <c r="K30" s="111">
        <v>156</v>
      </c>
      <c r="L30" s="111">
        <v>976</v>
      </c>
      <c r="M30" s="111">
        <v>5575</v>
      </c>
      <c r="N30" s="114"/>
      <c r="O30" s="154"/>
      <c r="P30" s="114"/>
      <c r="Q30" s="154"/>
      <c r="S30" s="148"/>
      <c r="T30" s="148"/>
      <c r="U30" s="111">
        <v>1035</v>
      </c>
      <c r="V30" s="111">
        <v>0</v>
      </c>
      <c r="W30" s="111">
        <v>1035</v>
      </c>
      <c r="X30" s="111">
        <v>5126.51</v>
      </c>
    </row>
    <row r="31" spans="1:28" x14ac:dyDescent="0.2">
      <c r="A31" s="149" t="s">
        <v>5</v>
      </c>
      <c r="B31" s="158"/>
      <c r="C31" s="148"/>
      <c r="D31" s="170"/>
      <c r="E31" s="154"/>
      <c r="F31" s="148"/>
      <c r="G31" s="148"/>
      <c r="H31" s="148"/>
      <c r="I31" s="148"/>
      <c r="J31" s="111">
        <v>1440</v>
      </c>
      <c r="K31" s="111">
        <v>309</v>
      </c>
      <c r="L31" s="111">
        <v>1749</v>
      </c>
      <c r="M31" s="111">
        <v>8494.24</v>
      </c>
      <c r="N31" s="114"/>
      <c r="O31" s="154"/>
      <c r="P31" s="114"/>
      <c r="Q31" s="154"/>
      <c r="S31" s="148"/>
      <c r="T31" s="148"/>
      <c r="U31" s="111">
        <v>1500</v>
      </c>
      <c r="V31" s="111">
        <v>0</v>
      </c>
      <c r="W31" s="111">
        <v>1500</v>
      </c>
      <c r="X31" s="111">
        <v>7201.01</v>
      </c>
    </row>
    <row r="32" spans="1:28" x14ac:dyDescent="0.2">
      <c r="A32" s="149" t="s">
        <v>6</v>
      </c>
      <c r="B32" s="158"/>
      <c r="C32" s="148"/>
      <c r="D32" s="170"/>
      <c r="E32" s="154"/>
      <c r="F32" s="148"/>
      <c r="G32" s="148"/>
      <c r="H32" s="148"/>
      <c r="I32" s="148"/>
      <c r="J32" s="111">
        <v>432</v>
      </c>
      <c r="K32" s="111">
        <v>174</v>
      </c>
      <c r="L32" s="111">
        <v>606</v>
      </c>
      <c r="M32" s="111">
        <v>3958.75</v>
      </c>
      <c r="N32" s="114"/>
      <c r="O32" s="154"/>
      <c r="P32" s="114"/>
      <c r="Q32" s="154"/>
      <c r="S32" s="148"/>
      <c r="T32" s="148"/>
      <c r="U32" s="111">
        <v>787</v>
      </c>
      <c r="V32" s="111">
        <v>0</v>
      </c>
      <c r="W32" s="111">
        <v>787</v>
      </c>
      <c r="X32" s="111">
        <v>4020</v>
      </c>
    </row>
    <row r="33" spans="1:24" x14ac:dyDescent="0.2">
      <c r="A33" s="149" t="s">
        <v>7</v>
      </c>
      <c r="B33" s="158"/>
      <c r="C33" s="148"/>
      <c r="D33" s="170"/>
      <c r="E33" s="154"/>
      <c r="F33" s="148"/>
      <c r="G33" s="148"/>
      <c r="H33" s="148"/>
      <c r="I33" s="148"/>
      <c r="J33" s="111">
        <v>1148</v>
      </c>
      <c r="K33" s="111">
        <v>299</v>
      </c>
      <c r="L33" s="111">
        <v>1447</v>
      </c>
      <c r="M33" s="111">
        <v>7234</v>
      </c>
      <c r="N33" s="114"/>
      <c r="O33" s="154"/>
      <c r="P33" s="114"/>
      <c r="Q33" s="154"/>
      <c r="S33" s="148"/>
      <c r="T33" s="148"/>
      <c r="U33" s="111">
        <v>955</v>
      </c>
      <c r="V33" s="111">
        <v>0</v>
      </c>
      <c r="W33" s="111">
        <v>955</v>
      </c>
      <c r="X33" s="111">
        <v>4769.6099999999997</v>
      </c>
    </row>
    <row r="34" spans="1:24" x14ac:dyDescent="0.2">
      <c r="A34" s="149" t="s">
        <v>8</v>
      </c>
      <c r="B34" s="158"/>
      <c r="C34" s="148"/>
      <c r="D34" s="170"/>
      <c r="E34" s="154"/>
      <c r="F34" s="148"/>
      <c r="G34" s="148"/>
      <c r="H34" s="148"/>
      <c r="I34" s="148"/>
      <c r="J34" s="111">
        <v>2434</v>
      </c>
      <c r="K34" s="111">
        <v>528</v>
      </c>
      <c r="L34" s="111">
        <v>2962</v>
      </c>
      <c r="M34" s="111">
        <v>13125.61</v>
      </c>
      <c r="N34" s="114"/>
      <c r="O34" s="154"/>
      <c r="P34" s="114"/>
      <c r="Q34" s="154"/>
      <c r="S34" s="148"/>
      <c r="T34" s="148"/>
      <c r="U34" s="111">
        <v>2765</v>
      </c>
      <c r="V34" s="111">
        <v>0</v>
      </c>
      <c r="W34" s="111">
        <v>2765</v>
      </c>
      <c r="X34" s="111">
        <v>12844.53</v>
      </c>
    </row>
    <row r="35" spans="1:24" x14ac:dyDescent="0.2">
      <c r="A35" s="149" t="s">
        <v>9</v>
      </c>
      <c r="B35" s="158"/>
      <c r="C35" s="148"/>
      <c r="D35" s="170"/>
      <c r="E35" s="154"/>
      <c r="F35" s="148"/>
      <c r="G35" s="148"/>
      <c r="H35" s="148"/>
      <c r="I35" s="148"/>
      <c r="J35" s="111">
        <v>1779</v>
      </c>
      <c r="K35" s="111">
        <v>417</v>
      </c>
      <c r="L35" s="111">
        <v>2196</v>
      </c>
      <c r="M35" s="111">
        <v>10135.4</v>
      </c>
      <c r="N35" s="114"/>
      <c r="O35" s="154"/>
      <c r="P35" s="114"/>
      <c r="Q35" s="154"/>
      <c r="S35" s="148"/>
      <c r="T35" s="148"/>
      <c r="U35" s="111">
        <v>2219</v>
      </c>
      <c r="V35" s="111">
        <v>0</v>
      </c>
      <c r="W35" s="111">
        <v>2219</v>
      </c>
      <c r="X35" s="111">
        <v>10408.67</v>
      </c>
    </row>
    <row r="36" spans="1:24" x14ac:dyDescent="0.2">
      <c r="A36" s="149" t="s">
        <v>10</v>
      </c>
      <c r="B36" s="158"/>
      <c r="C36" s="148"/>
      <c r="D36" s="170"/>
      <c r="E36" s="154"/>
      <c r="F36" s="148"/>
      <c r="G36" s="148"/>
      <c r="H36" s="148"/>
      <c r="I36" s="148"/>
      <c r="J36" s="134"/>
      <c r="K36" s="134"/>
      <c r="L36" s="134"/>
      <c r="M36" s="134"/>
      <c r="N36" s="114"/>
      <c r="O36" s="154"/>
      <c r="P36" s="114"/>
      <c r="Q36" s="154"/>
      <c r="S36" s="148"/>
      <c r="T36" s="148"/>
      <c r="U36" s="134"/>
      <c r="V36" s="134"/>
      <c r="W36" s="134"/>
      <c r="X36" s="134"/>
    </row>
    <row r="37" spans="1:24" x14ac:dyDescent="0.2">
      <c r="A37" s="149" t="s">
        <v>11</v>
      </c>
      <c r="B37" s="158"/>
      <c r="C37" s="148"/>
      <c r="D37" s="170"/>
      <c r="E37" s="154"/>
      <c r="F37" s="148"/>
      <c r="G37" s="148"/>
      <c r="H37" s="148"/>
      <c r="I37" s="148"/>
      <c r="J37" s="134"/>
      <c r="K37" s="134"/>
      <c r="L37" s="134"/>
      <c r="M37" s="134"/>
      <c r="N37" s="114"/>
      <c r="O37" s="154"/>
      <c r="P37" s="114"/>
      <c r="Q37" s="154"/>
      <c r="S37" s="148"/>
      <c r="T37" s="148"/>
      <c r="U37" s="134"/>
      <c r="V37" s="134"/>
      <c r="W37" s="134"/>
      <c r="X37" s="134"/>
    </row>
    <row r="38" spans="1:24" x14ac:dyDescent="0.2">
      <c r="A38" s="104" t="s">
        <v>20</v>
      </c>
      <c r="B38" s="112">
        <f t="shared" ref="B38:G38" si="2">SUM(B26:B37)</f>
        <v>0</v>
      </c>
      <c r="C38" s="103">
        <f t="shared" si="2"/>
        <v>0</v>
      </c>
      <c r="D38" s="112">
        <f t="shared" si="2"/>
        <v>0</v>
      </c>
      <c r="E38" s="103">
        <f t="shared" si="2"/>
        <v>0</v>
      </c>
      <c r="F38" s="103">
        <f t="shared" si="2"/>
        <v>0</v>
      </c>
      <c r="G38" s="103">
        <f t="shared" si="2"/>
        <v>0</v>
      </c>
      <c r="H38" s="103"/>
      <c r="I38" s="103"/>
      <c r="J38" s="135">
        <v>14498</v>
      </c>
      <c r="K38" s="135">
        <v>3248</v>
      </c>
      <c r="L38" s="135">
        <v>17746</v>
      </c>
      <c r="M38" s="135">
        <v>83850.94</v>
      </c>
      <c r="N38" s="103">
        <v>0</v>
      </c>
      <c r="O38" s="103">
        <v>0</v>
      </c>
      <c r="P38" s="103">
        <v>0</v>
      </c>
      <c r="Q38" s="103">
        <v>0</v>
      </c>
      <c r="S38" s="103">
        <v>0</v>
      </c>
      <c r="T38" s="103">
        <v>0</v>
      </c>
      <c r="U38" s="103">
        <v>17504</v>
      </c>
      <c r="V38" s="103">
        <v>0</v>
      </c>
      <c r="W38" s="103">
        <v>17504</v>
      </c>
      <c r="X38" s="103">
        <v>82671.87000000001</v>
      </c>
    </row>
    <row r="39" spans="1:24" x14ac:dyDescent="0.2">
      <c r="B39" s="162" t="s">
        <v>83</v>
      </c>
      <c r="H39" s="174" t="s">
        <v>80</v>
      </c>
      <c r="J39" s="174" t="s">
        <v>79</v>
      </c>
      <c r="K39" s="175"/>
      <c r="L39" s="174"/>
      <c r="M39" s="174"/>
      <c r="P39" s="138" t="s">
        <v>82</v>
      </c>
      <c r="S39" s="136" t="s">
        <v>81</v>
      </c>
      <c r="U39" s="162" t="s">
        <v>81</v>
      </c>
    </row>
    <row r="40" spans="1:24" x14ac:dyDescent="0.2">
      <c r="S40" s="174" t="s">
        <v>80</v>
      </c>
      <c r="U40" s="174" t="s">
        <v>79</v>
      </c>
      <c r="V40" s="174"/>
      <c r="W40" s="174"/>
    </row>
    <row r="44" spans="1:24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24" x14ac:dyDescent="0.2">
      <c r="A45" s="371"/>
      <c r="B45" s="151"/>
      <c r="C45" s="151"/>
      <c r="D45" s="151"/>
      <c r="E45" s="151"/>
      <c r="F45" s="151"/>
      <c r="G45" s="151"/>
      <c r="H45" s="155"/>
      <c r="I45" s="155"/>
      <c r="J45" s="152"/>
      <c r="K45" s="152"/>
      <c r="L45" s="152"/>
      <c r="M45" s="152"/>
      <c r="N45" s="153"/>
      <c r="O45" s="153"/>
    </row>
    <row r="46" spans="1:24" x14ac:dyDescent="0.2">
      <c r="A46" s="149"/>
      <c r="B46" s="148"/>
      <c r="C46" s="148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24" x14ac:dyDescent="0.2">
      <c r="A47" s="149"/>
      <c r="B47" s="148"/>
      <c r="C47" s="148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24" x14ac:dyDescent="0.2">
      <c r="A48" s="149"/>
      <c r="B48" s="148"/>
      <c r="C48" s="148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49"/>
      <c r="B49" s="148"/>
      <c r="C49" s="148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49"/>
      <c r="B50" s="148"/>
      <c r="C50" s="148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49"/>
      <c r="B51" s="148"/>
      <c r="C51" s="148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49"/>
      <c r="B52" s="148"/>
      <c r="C52" s="148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49"/>
      <c r="B53" s="148"/>
      <c r="C53" s="148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49"/>
      <c r="B54" s="148"/>
      <c r="C54" s="148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49"/>
      <c r="B55" s="148"/>
      <c r="C55" s="148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49"/>
      <c r="B56" s="148"/>
      <c r="C56" s="148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49"/>
      <c r="B57" s="148"/>
      <c r="C57" s="148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57">
    <mergeCell ref="Y2:Z2"/>
    <mergeCell ref="AA2:AB2"/>
    <mergeCell ref="Y3:Z3"/>
    <mergeCell ref="AA3:AB3"/>
    <mergeCell ref="Y5:Y16"/>
    <mergeCell ref="Z5:Z16"/>
    <mergeCell ref="AA5:AA16"/>
    <mergeCell ref="AB5:AB16"/>
    <mergeCell ref="N44:O44"/>
    <mergeCell ref="A44:A45"/>
    <mergeCell ref="B44:C44"/>
    <mergeCell ref="D44:E44"/>
    <mergeCell ref="F44:G44"/>
    <mergeCell ref="H44:I44"/>
    <mergeCell ref="J44:M4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S2:T2"/>
    <mergeCell ref="S3:T3"/>
    <mergeCell ref="U2:X2"/>
    <mergeCell ref="U3:X3"/>
    <mergeCell ref="A2:A4"/>
    <mergeCell ref="B2:C2"/>
    <mergeCell ref="D2:E2"/>
    <mergeCell ref="F2:G2"/>
    <mergeCell ref="H2:I2"/>
    <mergeCell ref="B3:C3"/>
    <mergeCell ref="D3:E3"/>
    <mergeCell ref="F3:G3"/>
    <mergeCell ref="H3:I3"/>
    <mergeCell ref="N2:O2"/>
    <mergeCell ref="J3:M3"/>
    <mergeCell ref="N3:O3"/>
    <mergeCell ref="J24:M24"/>
    <mergeCell ref="N24:O24"/>
    <mergeCell ref="J23:M23"/>
    <mergeCell ref="P2:Q2"/>
    <mergeCell ref="P3:Q3"/>
    <mergeCell ref="J2:M2"/>
    <mergeCell ref="P5:P16"/>
    <mergeCell ref="Q5:Q16"/>
    <mergeCell ref="S23:T23"/>
    <mergeCell ref="U23:X23"/>
    <mergeCell ref="S24:T24"/>
    <mergeCell ref="U24:X24"/>
    <mergeCell ref="N5:N16"/>
    <mergeCell ref="O5:O16"/>
    <mergeCell ref="P24:Q24"/>
    <mergeCell ref="P23:Q23"/>
    <mergeCell ref="N23:O23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71F63-D27E-4A34-9FEF-659A978B21FB}">
  <dimension ref="A1:AA58"/>
  <sheetViews>
    <sheetView topLeftCell="A19" workbookViewId="0">
      <selection activeCell="O58" sqref="A43:O58"/>
    </sheetView>
  </sheetViews>
  <sheetFormatPr defaultRowHeight="12.75" x14ac:dyDescent="0.2"/>
  <cols>
    <col min="1" max="1" width="12.7109375" style="161" customWidth="1"/>
    <col min="2" max="15" width="11.7109375" style="161" customWidth="1"/>
    <col min="16" max="16" width="11" style="161" customWidth="1"/>
    <col min="17" max="17" width="12.140625" style="161" customWidth="1"/>
    <col min="18" max="18" width="9.140625" style="161"/>
    <col min="19" max="19" width="11.140625" style="161" customWidth="1"/>
    <col min="20" max="20" width="10.28515625" style="161" customWidth="1"/>
    <col min="21" max="21" width="11.85546875" style="161" customWidth="1"/>
    <col min="22" max="22" width="9.140625" style="161"/>
    <col min="23" max="23" width="11" style="161" customWidth="1"/>
    <col min="24" max="24" width="11.140625" style="161" customWidth="1"/>
    <col min="25" max="25" width="10.5703125" style="161" customWidth="1"/>
    <col min="26" max="26" width="9.42578125" style="161" bestFit="1" customWidth="1"/>
    <col min="27" max="27" width="9.140625" style="161"/>
    <col min="28" max="28" width="5.42578125" style="161" customWidth="1"/>
    <col min="29" max="16384" width="9.140625" style="161"/>
  </cols>
  <sheetData>
    <row r="1" spans="1:27" ht="15" x14ac:dyDescent="0.2">
      <c r="A1" s="180" t="s">
        <v>213</v>
      </c>
      <c r="B1" s="178"/>
      <c r="C1" s="178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90" t="s">
        <v>33</v>
      </c>
      <c r="P1" s="176"/>
      <c r="Q1" s="176"/>
      <c r="R1" s="176"/>
      <c r="S1" s="197" t="s">
        <v>110</v>
      </c>
      <c r="T1" s="198"/>
      <c r="U1" s="198"/>
      <c r="V1" s="198"/>
      <c r="W1" s="176"/>
      <c r="X1" s="176"/>
      <c r="Y1" s="176"/>
      <c r="Z1" s="176"/>
      <c r="AA1" s="176"/>
    </row>
    <row r="2" spans="1:27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49" t="s">
        <v>96</v>
      </c>
      <c r="I2" s="350"/>
      <c r="J2" s="381" t="s">
        <v>109</v>
      </c>
      <c r="K2" s="382"/>
      <c r="L2" s="382"/>
      <c r="M2" s="383"/>
      <c r="N2" s="365"/>
      <c r="O2" s="365"/>
      <c r="P2" s="365"/>
      <c r="Q2" s="365"/>
      <c r="R2" s="176"/>
      <c r="S2" s="381" t="s">
        <v>108</v>
      </c>
      <c r="T2" s="384"/>
      <c r="U2" s="384"/>
      <c r="V2" s="385"/>
      <c r="W2" s="349" t="s">
        <v>94</v>
      </c>
      <c r="X2" s="350"/>
      <c r="Y2" s="349" t="s">
        <v>90</v>
      </c>
      <c r="Z2" s="350"/>
      <c r="AA2" s="176"/>
    </row>
    <row r="3" spans="1:27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107</v>
      </c>
      <c r="I3" s="350"/>
      <c r="J3" s="355" t="s">
        <v>14</v>
      </c>
      <c r="K3" s="356"/>
      <c r="L3" s="356"/>
      <c r="M3" s="357"/>
      <c r="N3" s="361" t="s">
        <v>62</v>
      </c>
      <c r="O3" s="361"/>
      <c r="P3" s="361" t="s">
        <v>63</v>
      </c>
      <c r="Q3" s="361"/>
      <c r="R3" s="176"/>
      <c r="S3" s="355" t="s">
        <v>14</v>
      </c>
      <c r="T3" s="356"/>
      <c r="U3" s="356"/>
      <c r="V3" s="357"/>
      <c r="W3" s="354" t="s">
        <v>106</v>
      </c>
      <c r="X3" s="350"/>
      <c r="Y3" s="354" t="s">
        <v>105</v>
      </c>
      <c r="Z3" s="350"/>
      <c r="AA3" s="138"/>
    </row>
    <row r="4" spans="1:27" ht="14.25" customHeight="1" x14ac:dyDescent="0.2">
      <c r="A4" s="368"/>
      <c r="B4" s="159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5" t="s">
        <v>18</v>
      </c>
      <c r="I4" s="155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  <c r="P4" s="153" t="s">
        <v>23</v>
      </c>
      <c r="Q4" s="153" t="s">
        <v>24</v>
      </c>
      <c r="R4" s="176"/>
      <c r="S4" s="152" t="s">
        <v>35</v>
      </c>
      <c r="T4" s="152" t="s">
        <v>36</v>
      </c>
      <c r="U4" s="152" t="s">
        <v>37</v>
      </c>
      <c r="V4" s="152" t="s">
        <v>17</v>
      </c>
      <c r="W4" s="155" t="s">
        <v>18</v>
      </c>
      <c r="X4" s="155" t="s">
        <v>17</v>
      </c>
      <c r="Y4" s="155" t="s">
        <v>18</v>
      </c>
      <c r="Z4" s="155" t="s">
        <v>17</v>
      </c>
      <c r="AA4" s="127"/>
    </row>
    <row r="5" spans="1:27" x14ac:dyDescent="0.2">
      <c r="A5" s="149" t="s">
        <v>0</v>
      </c>
      <c r="B5" s="158"/>
      <c r="C5" s="148"/>
      <c r="D5" s="187"/>
      <c r="E5" s="154"/>
      <c r="F5" s="148"/>
      <c r="G5" s="148"/>
      <c r="H5" s="148">
        <v>107333</v>
      </c>
      <c r="I5" s="148">
        <f>I19+I20</f>
        <v>0</v>
      </c>
      <c r="J5" s="181">
        <v>8840</v>
      </c>
      <c r="K5" s="181">
        <v>1620</v>
      </c>
      <c r="L5" s="181">
        <v>10460</v>
      </c>
      <c r="M5" s="181">
        <v>34613.919999999998</v>
      </c>
      <c r="N5" s="375">
        <v>1607</v>
      </c>
      <c r="O5" s="375">
        <v>58173</v>
      </c>
      <c r="P5" s="375">
        <v>1607</v>
      </c>
      <c r="Q5" s="375">
        <v>51006</v>
      </c>
      <c r="R5" s="176">
        <v>1</v>
      </c>
      <c r="S5" s="378">
        <v>121</v>
      </c>
      <c r="T5" s="378">
        <v>0</v>
      </c>
      <c r="U5" s="378">
        <v>121</v>
      </c>
      <c r="V5" s="378">
        <v>616</v>
      </c>
      <c r="W5" s="148">
        <v>711</v>
      </c>
      <c r="X5" s="148">
        <v>605.32000000000005</v>
      </c>
      <c r="Y5" s="148">
        <v>85</v>
      </c>
      <c r="Z5" s="148">
        <v>108.48</v>
      </c>
      <c r="AA5" s="138"/>
    </row>
    <row r="6" spans="1:27" x14ac:dyDescent="0.2">
      <c r="A6" s="149" t="s">
        <v>1</v>
      </c>
      <c r="B6" s="158"/>
      <c r="C6" s="148"/>
      <c r="D6" s="188"/>
      <c r="E6" s="154"/>
      <c r="F6" s="148"/>
      <c r="G6" s="148"/>
      <c r="H6" s="148">
        <v>60720</v>
      </c>
      <c r="I6" s="148">
        <v>45744.71</v>
      </c>
      <c r="J6" s="181">
        <v>7406</v>
      </c>
      <c r="K6" s="181">
        <v>1359</v>
      </c>
      <c r="L6" s="181">
        <v>8765</v>
      </c>
      <c r="M6" s="181">
        <v>29289.88</v>
      </c>
      <c r="N6" s="376"/>
      <c r="O6" s="376"/>
      <c r="P6" s="376"/>
      <c r="Q6" s="376"/>
      <c r="R6" s="176">
        <v>2</v>
      </c>
      <c r="S6" s="379"/>
      <c r="T6" s="379"/>
      <c r="U6" s="379"/>
      <c r="V6" s="379"/>
      <c r="W6" s="386">
        <v>22517</v>
      </c>
      <c r="X6" s="386">
        <v>19513</v>
      </c>
      <c r="Y6" s="386">
        <v>1572</v>
      </c>
      <c r="Z6" s="386">
        <v>2435.61</v>
      </c>
      <c r="AA6" s="176"/>
    </row>
    <row r="7" spans="1:27" x14ac:dyDescent="0.2">
      <c r="A7" s="149" t="s">
        <v>2</v>
      </c>
      <c r="B7" s="158"/>
      <c r="C7" s="148"/>
      <c r="D7" s="188"/>
      <c r="E7" s="154"/>
      <c r="F7" s="148"/>
      <c r="G7" s="148"/>
      <c r="H7" s="148">
        <v>46255</v>
      </c>
      <c r="I7" s="148">
        <v>35624.559999999998</v>
      </c>
      <c r="J7" s="181">
        <v>8220</v>
      </c>
      <c r="K7" s="181">
        <v>1551</v>
      </c>
      <c r="L7" s="181">
        <v>9771</v>
      </c>
      <c r="M7" s="181">
        <v>32373.79</v>
      </c>
      <c r="N7" s="376"/>
      <c r="O7" s="376"/>
      <c r="P7" s="376"/>
      <c r="Q7" s="376"/>
      <c r="R7" s="176">
        <v>3</v>
      </c>
      <c r="S7" s="380"/>
      <c r="T7" s="380"/>
      <c r="U7" s="380"/>
      <c r="V7" s="380"/>
      <c r="W7" s="387"/>
      <c r="X7" s="387"/>
      <c r="Y7" s="387"/>
      <c r="Z7" s="387"/>
      <c r="AA7" s="176"/>
    </row>
    <row r="8" spans="1:27" x14ac:dyDescent="0.2">
      <c r="A8" s="149" t="s">
        <v>3</v>
      </c>
      <c r="B8" s="158"/>
      <c r="C8" s="148"/>
      <c r="D8" s="188"/>
      <c r="E8" s="154"/>
      <c r="F8" s="148"/>
      <c r="G8" s="148"/>
      <c r="H8" s="148">
        <v>27209</v>
      </c>
      <c r="I8" s="148">
        <v>22299.58</v>
      </c>
      <c r="J8" s="181">
        <v>7302</v>
      </c>
      <c r="K8" s="181">
        <v>1403</v>
      </c>
      <c r="L8" s="181">
        <v>8705</v>
      </c>
      <c r="M8" s="181">
        <v>28992.42</v>
      </c>
      <c r="N8" s="376"/>
      <c r="O8" s="376"/>
      <c r="P8" s="376"/>
      <c r="Q8" s="376"/>
      <c r="R8" s="176">
        <v>4</v>
      </c>
      <c r="S8" s="378">
        <v>339</v>
      </c>
      <c r="T8" s="378">
        <v>0</v>
      </c>
      <c r="U8" s="378">
        <v>339</v>
      </c>
      <c r="V8" s="378">
        <v>1778</v>
      </c>
      <c r="W8" s="387"/>
      <c r="X8" s="387"/>
      <c r="Y8" s="387"/>
      <c r="Z8" s="387"/>
      <c r="AA8" s="127"/>
    </row>
    <row r="9" spans="1:27" x14ac:dyDescent="0.2">
      <c r="A9" s="149" t="s">
        <v>4</v>
      </c>
      <c r="B9" s="158"/>
      <c r="C9" s="148"/>
      <c r="D9" s="188"/>
      <c r="E9" s="154"/>
      <c r="F9" s="148"/>
      <c r="G9" s="148"/>
      <c r="H9" s="148">
        <v>23563</v>
      </c>
      <c r="I9" s="148">
        <v>19749.080000000002</v>
      </c>
      <c r="J9" s="181">
        <v>7820</v>
      </c>
      <c r="K9" s="181">
        <v>1398</v>
      </c>
      <c r="L9" s="181">
        <v>9218</v>
      </c>
      <c r="M9" s="181">
        <v>30775.73</v>
      </c>
      <c r="N9" s="376"/>
      <c r="O9" s="376"/>
      <c r="P9" s="376"/>
      <c r="Q9" s="376"/>
      <c r="R9" s="176">
        <v>5</v>
      </c>
      <c r="S9" s="379"/>
      <c r="T9" s="379"/>
      <c r="U9" s="379"/>
      <c r="V9" s="379"/>
      <c r="W9" s="387"/>
      <c r="X9" s="387"/>
      <c r="Y9" s="387"/>
      <c r="Z9" s="387"/>
      <c r="AA9" s="128"/>
    </row>
    <row r="10" spans="1:27" x14ac:dyDescent="0.2">
      <c r="A10" s="149" t="s">
        <v>5</v>
      </c>
      <c r="B10" s="158"/>
      <c r="C10" s="148"/>
      <c r="D10" s="188"/>
      <c r="E10" s="154"/>
      <c r="F10" s="148"/>
      <c r="G10" s="148"/>
      <c r="H10" s="148">
        <v>6398</v>
      </c>
      <c r="I10" s="148">
        <v>7740.26</v>
      </c>
      <c r="J10" s="181">
        <v>5878</v>
      </c>
      <c r="K10" s="181">
        <v>1420</v>
      </c>
      <c r="L10" s="181">
        <v>7298</v>
      </c>
      <c r="M10" s="181">
        <v>24094.53</v>
      </c>
      <c r="N10" s="376"/>
      <c r="O10" s="376"/>
      <c r="P10" s="376"/>
      <c r="Q10" s="376"/>
      <c r="R10" s="176">
        <v>6</v>
      </c>
      <c r="S10" s="379"/>
      <c r="T10" s="379"/>
      <c r="U10" s="379"/>
      <c r="V10" s="379"/>
      <c r="W10" s="387"/>
      <c r="X10" s="387"/>
      <c r="Y10" s="387"/>
      <c r="Z10" s="387"/>
      <c r="AA10" s="176"/>
    </row>
    <row r="11" spans="1:27" x14ac:dyDescent="0.2">
      <c r="A11" s="149" t="s">
        <v>6</v>
      </c>
      <c r="B11" s="158"/>
      <c r="C11" s="148"/>
      <c r="D11" s="188"/>
      <c r="E11" s="154"/>
      <c r="F11" s="148"/>
      <c r="G11" s="148"/>
      <c r="H11" s="148">
        <v>7429</v>
      </c>
      <c r="I11" s="148">
        <v>8461.52</v>
      </c>
      <c r="J11" s="181">
        <v>3358</v>
      </c>
      <c r="K11" s="181">
        <v>1000</v>
      </c>
      <c r="L11" s="181">
        <v>4358</v>
      </c>
      <c r="M11" s="181">
        <v>14792.96</v>
      </c>
      <c r="N11" s="376"/>
      <c r="O11" s="376"/>
      <c r="P11" s="376"/>
      <c r="Q11" s="376"/>
      <c r="R11" s="176">
        <v>7</v>
      </c>
      <c r="S11" s="379"/>
      <c r="T11" s="379"/>
      <c r="U11" s="379"/>
      <c r="V11" s="379"/>
      <c r="W11" s="387"/>
      <c r="X11" s="387"/>
      <c r="Y11" s="387"/>
      <c r="Z11" s="387"/>
      <c r="AA11" s="176"/>
    </row>
    <row r="12" spans="1:27" x14ac:dyDescent="0.2">
      <c r="A12" s="149" t="s">
        <v>7</v>
      </c>
      <c r="B12" s="158"/>
      <c r="C12" s="148"/>
      <c r="D12" s="188"/>
      <c r="E12" s="154"/>
      <c r="F12" s="148"/>
      <c r="G12" s="148"/>
      <c r="H12" s="148">
        <v>7068</v>
      </c>
      <c r="I12" s="148">
        <v>8208.7099999999991</v>
      </c>
      <c r="J12" s="181">
        <v>3967</v>
      </c>
      <c r="K12" s="181">
        <v>1085</v>
      </c>
      <c r="L12" s="181">
        <v>5052</v>
      </c>
      <c r="M12" s="181">
        <v>17017.599999999999</v>
      </c>
      <c r="N12" s="376"/>
      <c r="O12" s="376"/>
      <c r="P12" s="376"/>
      <c r="Q12" s="376"/>
      <c r="R12" s="176">
        <v>8</v>
      </c>
      <c r="S12" s="379"/>
      <c r="T12" s="379"/>
      <c r="U12" s="379"/>
      <c r="V12" s="379"/>
      <c r="W12" s="387"/>
      <c r="X12" s="387"/>
      <c r="Y12" s="387"/>
      <c r="Z12" s="387"/>
      <c r="AA12" s="127"/>
    </row>
    <row r="13" spans="1:27" x14ac:dyDescent="0.2">
      <c r="A13" s="149" t="s">
        <v>8</v>
      </c>
      <c r="B13" s="158"/>
      <c r="C13" s="148"/>
      <c r="D13" s="188"/>
      <c r="E13" s="154"/>
      <c r="F13" s="148"/>
      <c r="G13" s="148"/>
      <c r="H13" s="148">
        <v>13200</v>
      </c>
      <c r="I13" s="148">
        <v>12499.17</v>
      </c>
      <c r="J13" s="181">
        <v>6912</v>
      </c>
      <c r="K13" s="181">
        <v>1386</v>
      </c>
      <c r="L13" s="181">
        <v>8298</v>
      </c>
      <c r="M13" s="181">
        <v>27620.48</v>
      </c>
      <c r="N13" s="376"/>
      <c r="O13" s="376"/>
      <c r="P13" s="376"/>
      <c r="Q13" s="376"/>
      <c r="R13" s="176">
        <v>9</v>
      </c>
      <c r="S13" s="379"/>
      <c r="T13" s="379"/>
      <c r="U13" s="379"/>
      <c r="V13" s="379"/>
      <c r="W13" s="387"/>
      <c r="X13" s="387"/>
      <c r="Y13" s="387"/>
      <c r="Z13" s="387"/>
      <c r="AA13" s="128"/>
    </row>
    <row r="14" spans="1:27" x14ac:dyDescent="0.2">
      <c r="A14" s="149" t="s">
        <v>9</v>
      </c>
      <c r="B14" s="158"/>
      <c r="C14" s="148"/>
      <c r="D14" s="188"/>
      <c r="E14" s="154"/>
      <c r="F14" s="148"/>
      <c r="G14" s="148"/>
      <c r="H14" s="148">
        <v>24998</v>
      </c>
      <c r="I14" s="148">
        <v>20752.939999999999</v>
      </c>
      <c r="J14" s="181">
        <v>7965</v>
      </c>
      <c r="K14" s="181">
        <v>1664</v>
      </c>
      <c r="L14" s="181">
        <v>9629</v>
      </c>
      <c r="M14" s="181">
        <v>31651.62</v>
      </c>
      <c r="N14" s="376"/>
      <c r="O14" s="376"/>
      <c r="P14" s="376"/>
      <c r="Q14" s="376"/>
      <c r="R14" s="176">
        <v>10</v>
      </c>
      <c r="S14" s="379"/>
      <c r="T14" s="379"/>
      <c r="U14" s="379"/>
      <c r="V14" s="379"/>
      <c r="W14" s="387"/>
      <c r="X14" s="387"/>
      <c r="Y14" s="387"/>
      <c r="Z14" s="387"/>
      <c r="AA14" s="176"/>
    </row>
    <row r="15" spans="1:27" x14ac:dyDescent="0.2">
      <c r="A15" s="149" t="s">
        <v>10</v>
      </c>
      <c r="B15" s="158"/>
      <c r="C15" s="148"/>
      <c r="D15" s="188"/>
      <c r="E15" s="154"/>
      <c r="F15" s="148"/>
      <c r="G15" s="148"/>
      <c r="H15" s="148">
        <v>44097</v>
      </c>
      <c r="I15" s="148">
        <v>34.115000000000002</v>
      </c>
      <c r="J15" s="181">
        <v>8609</v>
      </c>
      <c r="K15" s="181">
        <v>1718</v>
      </c>
      <c r="L15" s="181">
        <v>10327</v>
      </c>
      <c r="M15" s="181">
        <v>34468.39</v>
      </c>
      <c r="N15" s="376"/>
      <c r="O15" s="376"/>
      <c r="P15" s="376"/>
      <c r="Q15" s="376"/>
      <c r="R15" s="176">
        <v>11</v>
      </c>
      <c r="S15" s="379"/>
      <c r="T15" s="379"/>
      <c r="U15" s="379"/>
      <c r="V15" s="379"/>
      <c r="W15" s="387"/>
      <c r="X15" s="387"/>
      <c r="Y15" s="387"/>
      <c r="Z15" s="387"/>
      <c r="AA15" s="176"/>
    </row>
    <row r="16" spans="1:27" x14ac:dyDescent="0.2">
      <c r="A16" s="149" t="s">
        <v>11</v>
      </c>
      <c r="B16" s="158"/>
      <c r="C16" s="148"/>
      <c r="D16" s="188"/>
      <c r="E16" s="154"/>
      <c r="F16" s="148"/>
      <c r="G16" s="148"/>
      <c r="H16" s="148">
        <v>63441</v>
      </c>
      <c r="I16" s="148">
        <v>47648</v>
      </c>
      <c r="J16" s="181">
        <v>7354</v>
      </c>
      <c r="K16" s="181">
        <v>1787</v>
      </c>
      <c r="L16" s="181">
        <v>9141</v>
      </c>
      <c r="M16" s="181">
        <v>31429.13</v>
      </c>
      <c r="N16" s="377"/>
      <c r="O16" s="377"/>
      <c r="P16" s="377"/>
      <c r="Q16" s="377"/>
      <c r="R16" s="176">
        <v>12</v>
      </c>
      <c r="S16" s="380"/>
      <c r="T16" s="380"/>
      <c r="U16" s="380"/>
      <c r="V16" s="380"/>
      <c r="W16" s="388"/>
      <c r="X16" s="388"/>
      <c r="Y16" s="388"/>
      <c r="Z16" s="388"/>
      <c r="AA16" s="138"/>
    </row>
    <row r="17" spans="1:27" x14ac:dyDescent="0.2">
      <c r="A17" s="104" t="s">
        <v>20</v>
      </c>
      <c r="B17" s="112">
        <v>0</v>
      </c>
      <c r="C17" s="103">
        <v>0</v>
      </c>
      <c r="D17" s="112">
        <v>0</v>
      </c>
      <c r="E17" s="103">
        <v>0</v>
      </c>
      <c r="F17" s="103">
        <v>0</v>
      </c>
      <c r="G17" s="103">
        <v>0</v>
      </c>
      <c r="H17" s="103">
        <v>431711</v>
      </c>
      <c r="I17" s="103">
        <f>SUM(I5:I16)</f>
        <v>228762.64499999999</v>
      </c>
      <c r="J17" s="103">
        <f t="shared" ref="J17:L17" si="0">SUM(J5:J16)</f>
        <v>83631</v>
      </c>
      <c r="K17" s="103">
        <f t="shared" si="0"/>
        <v>17391</v>
      </c>
      <c r="L17" s="103">
        <f t="shared" si="0"/>
        <v>101022</v>
      </c>
      <c r="M17" s="103">
        <f>SUM(M5:M16)</f>
        <v>337120.45</v>
      </c>
      <c r="N17" s="103">
        <f>SUM(N5)</f>
        <v>1607</v>
      </c>
      <c r="O17" s="103">
        <f>SUM(O5)</f>
        <v>58173</v>
      </c>
      <c r="P17" s="103">
        <f t="shared" ref="P17:Q17" si="1">SUM(P5)</f>
        <v>1607</v>
      </c>
      <c r="Q17" s="103">
        <f t="shared" si="1"/>
        <v>51006</v>
      </c>
      <c r="R17" s="176"/>
      <c r="S17" s="103">
        <f>SUM(S5:S16)</f>
        <v>460</v>
      </c>
      <c r="T17" s="103">
        <f t="shared" ref="T17:V17" si="2">SUM(T5:T16)</f>
        <v>0</v>
      </c>
      <c r="U17" s="103">
        <f t="shared" si="2"/>
        <v>460</v>
      </c>
      <c r="V17" s="103">
        <f t="shared" si="2"/>
        <v>2394</v>
      </c>
      <c r="W17" s="103">
        <f>W5+W6</f>
        <v>23228</v>
      </c>
      <c r="X17" s="103">
        <f t="shared" ref="X17:Z17" si="3">X5+X6</f>
        <v>20118.32</v>
      </c>
      <c r="Y17" s="103">
        <f t="shared" si="3"/>
        <v>1657</v>
      </c>
      <c r="Z17" s="103">
        <f t="shared" si="3"/>
        <v>2544.09</v>
      </c>
    </row>
    <row r="18" spans="1:27" x14ac:dyDescent="0.2">
      <c r="A18" s="177"/>
      <c r="B18" s="177" t="s">
        <v>83</v>
      </c>
      <c r="C18" s="177"/>
      <c r="D18" s="177"/>
      <c r="E18" s="183"/>
      <c r="F18" s="189"/>
      <c r="G18" s="162"/>
      <c r="H18" s="162"/>
      <c r="J18" s="184"/>
      <c r="K18" s="184"/>
      <c r="L18" s="184"/>
      <c r="M18" s="185"/>
      <c r="N18" s="177" t="s">
        <v>67</v>
      </c>
      <c r="O18" s="177"/>
      <c r="P18" s="176"/>
      <c r="Q18" s="176"/>
      <c r="R18" s="176"/>
      <c r="S18" s="133" t="s">
        <v>67</v>
      </c>
      <c r="T18" s="200"/>
      <c r="U18" s="176"/>
      <c r="V18" s="176"/>
      <c r="W18" s="133" t="s">
        <v>67</v>
      </c>
      <c r="X18" s="162"/>
    </row>
    <row r="19" spans="1:27" x14ac:dyDescent="0.2">
      <c r="A19" s="177"/>
      <c r="B19" s="177"/>
      <c r="C19" s="177"/>
      <c r="D19" s="177"/>
      <c r="E19" s="177"/>
      <c r="F19" s="177"/>
      <c r="G19" s="138"/>
      <c r="H19" s="131"/>
      <c r="I19" s="130"/>
      <c r="L19" s="177"/>
      <c r="M19" s="177"/>
      <c r="N19" s="182" t="s">
        <v>65</v>
      </c>
      <c r="O19" s="185"/>
      <c r="P19" s="176"/>
      <c r="Q19" s="176"/>
      <c r="R19" s="176"/>
      <c r="S19" s="200" t="s">
        <v>104</v>
      </c>
      <c r="T19" s="200"/>
      <c r="U19" s="176"/>
      <c r="V19" s="176"/>
      <c r="W19" s="138" t="s">
        <v>103</v>
      </c>
      <c r="X19" s="131"/>
      <c r="Z19" s="129"/>
    </row>
    <row r="20" spans="1:27" x14ac:dyDescent="0.2">
      <c r="A20" s="176"/>
      <c r="B20" s="176"/>
      <c r="C20" s="176"/>
      <c r="D20" s="176"/>
      <c r="E20" s="176"/>
      <c r="F20" s="176"/>
      <c r="G20" s="138"/>
      <c r="H20" s="131"/>
      <c r="I20" s="130"/>
      <c r="K20" s="176"/>
      <c r="L20" s="176"/>
      <c r="M20" s="176"/>
      <c r="P20" s="176"/>
      <c r="Q20" s="176"/>
      <c r="R20" s="176"/>
      <c r="S20" s="200" t="s">
        <v>102</v>
      </c>
      <c r="T20" s="200"/>
      <c r="U20" s="176"/>
      <c r="V20" s="176"/>
      <c r="W20" s="138" t="s">
        <v>101</v>
      </c>
      <c r="X20" s="131"/>
    </row>
    <row r="21" spans="1:27" x14ac:dyDescent="0.2">
      <c r="A21" s="176"/>
      <c r="B21" s="176"/>
      <c r="C21" s="176"/>
      <c r="D21" s="176"/>
      <c r="E21" s="176"/>
      <c r="F21" s="176"/>
      <c r="K21" s="176"/>
      <c r="L21" s="176"/>
      <c r="M21" s="176"/>
      <c r="N21" s="176"/>
      <c r="O21" s="176"/>
      <c r="P21" s="176"/>
      <c r="Q21" s="176"/>
      <c r="R21" s="176"/>
      <c r="U21" s="176"/>
      <c r="V21" s="176"/>
    </row>
    <row r="22" spans="1:27" x14ac:dyDescent="0.2">
      <c r="A22" s="192" t="s">
        <v>100</v>
      </c>
      <c r="B22" s="193"/>
      <c r="C22" s="176"/>
      <c r="D22" s="176"/>
      <c r="E22" s="176"/>
      <c r="F22" s="176"/>
      <c r="G22" s="176"/>
      <c r="I22" s="19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</row>
    <row r="23" spans="1:27" ht="12.75" customHeight="1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355"/>
      <c r="K23" s="356"/>
      <c r="L23" s="356"/>
      <c r="M23" s="357"/>
      <c r="N23" s="361"/>
      <c r="O23" s="361"/>
      <c r="P23" s="361"/>
      <c r="Q23" s="361"/>
      <c r="R23" s="176"/>
      <c r="S23" s="176"/>
      <c r="T23" s="176"/>
      <c r="U23" s="176"/>
      <c r="V23" s="176"/>
    </row>
    <row r="24" spans="1:27" ht="12.75" customHeight="1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62</v>
      </c>
      <c r="O24" s="361"/>
      <c r="P24" s="361" t="s">
        <v>63</v>
      </c>
      <c r="Q24" s="361"/>
      <c r="R24" s="176"/>
      <c r="S24" s="176"/>
      <c r="T24" s="176"/>
      <c r="U24" s="176"/>
      <c r="V24" s="176"/>
    </row>
    <row r="25" spans="1:27" ht="14.25" customHeight="1" x14ac:dyDescent="0.2">
      <c r="A25" s="368"/>
      <c r="B25" s="159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5" t="s">
        <v>18</v>
      </c>
      <c r="I25" s="155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24</v>
      </c>
      <c r="P25" s="153" t="s">
        <v>23</v>
      </c>
      <c r="Q25" s="153" t="s">
        <v>24</v>
      </c>
      <c r="R25" s="176"/>
      <c r="S25" s="374" t="s">
        <v>99</v>
      </c>
      <c r="T25" s="374"/>
      <c r="U25" s="176"/>
      <c r="V25" s="176"/>
    </row>
    <row r="26" spans="1:27" x14ac:dyDescent="0.2">
      <c r="A26" s="149" t="s">
        <v>0</v>
      </c>
      <c r="B26" s="158"/>
      <c r="C26" s="148"/>
      <c r="D26" s="187"/>
      <c r="E26" s="154"/>
      <c r="F26" s="148"/>
      <c r="G26" s="148"/>
      <c r="H26" s="148"/>
      <c r="I26" s="148"/>
      <c r="J26" s="181"/>
      <c r="K26" s="181"/>
      <c r="L26" s="181"/>
      <c r="M26" s="181"/>
      <c r="N26" s="186"/>
      <c r="O26" s="154"/>
      <c r="P26" s="186"/>
      <c r="Q26" s="154"/>
      <c r="R26" s="176"/>
      <c r="S26" s="194" t="s">
        <v>98</v>
      </c>
      <c r="T26" s="194"/>
      <c r="U26" s="194"/>
      <c r="V26" s="194"/>
      <c r="W26" s="132"/>
      <c r="X26" s="132" t="s">
        <v>97</v>
      </c>
      <c r="Z26" s="138"/>
    </row>
    <row r="27" spans="1:27" x14ac:dyDescent="0.2">
      <c r="A27" s="149" t="s">
        <v>1</v>
      </c>
      <c r="B27" s="158"/>
      <c r="C27" s="148"/>
      <c r="D27" s="188"/>
      <c r="E27" s="154"/>
      <c r="F27" s="148"/>
      <c r="G27" s="148"/>
      <c r="H27" s="148"/>
      <c r="I27" s="148"/>
      <c r="J27" s="181"/>
      <c r="K27" s="181"/>
      <c r="L27" s="181"/>
      <c r="M27" s="181"/>
      <c r="N27" s="186"/>
      <c r="O27" s="154"/>
      <c r="P27" s="186"/>
      <c r="Q27" s="154"/>
      <c r="R27" s="195">
        <v>1</v>
      </c>
      <c r="S27" s="191" t="s">
        <v>95</v>
      </c>
      <c r="T27" s="191"/>
      <c r="U27" s="191"/>
      <c r="V27" s="191"/>
      <c r="W27" s="138"/>
      <c r="X27" s="138" t="s">
        <v>96</v>
      </c>
    </row>
    <row r="28" spans="1:27" x14ac:dyDescent="0.2">
      <c r="A28" s="149" t="s">
        <v>2</v>
      </c>
      <c r="B28" s="158"/>
      <c r="C28" s="148"/>
      <c r="D28" s="188"/>
      <c r="E28" s="154"/>
      <c r="F28" s="148"/>
      <c r="G28" s="148"/>
      <c r="H28" s="148"/>
      <c r="I28" s="148"/>
      <c r="J28" s="181"/>
      <c r="K28" s="181"/>
      <c r="L28" s="181"/>
      <c r="M28" s="181"/>
      <c r="N28" s="186"/>
      <c r="O28" s="154"/>
      <c r="P28" s="186"/>
      <c r="Q28" s="154"/>
      <c r="R28" s="195">
        <v>2</v>
      </c>
      <c r="S28" s="191" t="s">
        <v>95</v>
      </c>
      <c r="T28" s="191"/>
      <c r="U28" s="191"/>
      <c r="V28" s="191"/>
      <c r="W28" s="138"/>
      <c r="X28" s="138" t="s">
        <v>94</v>
      </c>
      <c r="Z28" s="191" t="s">
        <v>93</v>
      </c>
      <c r="AA28" s="138" t="s">
        <v>92</v>
      </c>
    </row>
    <row r="29" spans="1:27" x14ac:dyDescent="0.2">
      <c r="A29" s="149" t="s">
        <v>3</v>
      </c>
      <c r="B29" s="158"/>
      <c r="C29" s="148"/>
      <c r="D29" s="188"/>
      <c r="E29" s="154"/>
      <c r="F29" s="148"/>
      <c r="G29" s="148"/>
      <c r="H29" s="148"/>
      <c r="I29" s="148"/>
      <c r="J29" s="181"/>
      <c r="K29" s="181"/>
      <c r="L29" s="181"/>
      <c r="M29" s="181"/>
      <c r="N29" s="186"/>
      <c r="O29" s="154"/>
      <c r="P29" s="186"/>
      <c r="Q29" s="154"/>
      <c r="R29" s="195">
        <v>3</v>
      </c>
      <c r="S29" s="191" t="s">
        <v>91</v>
      </c>
      <c r="T29" s="191"/>
      <c r="U29" s="191"/>
      <c r="V29" s="191"/>
      <c r="W29" s="138"/>
      <c r="X29" s="138" t="s">
        <v>90</v>
      </c>
      <c r="Z29" s="138" t="s">
        <v>89</v>
      </c>
    </row>
    <row r="30" spans="1:27" x14ac:dyDescent="0.2">
      <c r="A30" s="149" t="s">
        <v>4</v>
      </c>
      <c r="B30" s="158"/>
      <c r="C30" s="148"/>
      <c r="D30" s="188"/>
      <c r="E30" s="154"/>
      <c r="F30" s="148"/>
      <c r="G30" s="148"/>
      <c r="H30" s="148"/>
      <c r="I30" s="148"/>
      <c r="J30" s="181"/>
      <c r="K30" s="181"/>
      <c r="L30" s="181"/>
      <c r="M30" s="181"/>
      <c r="N30" s="186"/>
      <c r="O30" s="154"/>
      <c r="P30" s="186"/>
      <c r="Q30" s="154"/>
      <c r="Z30" s="138"/>
    </row>
    <row r="31" spans="1:27" x14ac:dyDescent="0.2">
      <c r="A31" s="149" t="s">
        <v>5</v>
      </c>
      <c r="B31" s="158"/>
      <c r="C31" s="148"/>
      <c r="D31" s="188"/>
      <c r="E31" s="154"/>
      <c r="F31" s="148"/>
      <c r="G31" s="148"/>
      <c r="H31" s="148"/>
      <c r="I31" s="148"/>
      <c r="J31" s="181"/>
      <c r="K31" s="181"/>
      <c r="L31" s="181"/>
      <c r="M31" s="181"/>
      <c r="N31" s="186"/>
      <c r="O31" s="154"/>
      <c r="P31" s="186"/>
      <c r="Q31" s="154"/>
    </row>
    <row r="32" spans="1:27" x14ac:dyDescent="0.2">
      <c r="A32" s="149" t="s">
        <v>6</v>
      </c>
      <c r="B32" s="158"/>
      <c r="C32" s="148"/>
      <c r="D32" s="188"/>
      <c r="E32" s="154"/>
      <c r="F32" s="148"/>
      <c r="G32" s="148"/>
      <c r="H32" s="148"/>
      <c r="I32" s="148"/>
      <c r="J32" s="181"/>
      <c r="K32" s="181"/>
      <c r="L32" s="181"/>
      <c r="M32" s="181"/>
      <c r="N32" s="186"/>
      <c r="O32" s="154"/>
      <c r="P32" s="186"/>
      <c r="Q32" s="154"/>
      <c r="R32" s="176"/>
      <c r="S32" s="176"/>
      <c r="T32" s="176"/>
      <c r="U32" s="176"/>
      <c r="V32" s="176"/>
    </row>
    <row r="33" spans="1:17" x14ac:dyDescent="0.2">
      <c r="A33" s="149" t="s">
        <v>7</v>
      </c>
      <c r="B33" s="158"/>
      <c r="C33" s="148"/>
      <c r="D33" s="188"/>
      <c r="E33" s="154"/>
      <c r="F33" s="148"/>
      <c r="G33" s="148"/>
      <c r="H33" s="148"/>
      <c r="I33" s="148"/>
      <c r="J33" s="181"/>
      <c r="K33" s="181"/>
      <c r="L33" s="181"/>
      <c r="M33" s="181"/>
      <c r="N33" s="186"/>
      <c r="O33" s="154"/>
      <c r="P33" s="186"/>
      <c r="Q33" s="154"/>
    </row>
    <row r="34" spans="1:17" x14ac:dyDescent="0.2">
      <c r="A34" s="149" t="s">
        <v>8</v>
      </c>
      <c r="B34" s="158"/>
      <c r="C34" s="148"/>
      <c r="D34" s="188"/>
      <c r="E34" s="154"/>
      <c r="F34" s="148"/>
      <c r="G34" s="148"/>
      <c r="H34" s="148"/>
      <c r="I34" s="148"/>
      <c r="J34" s="181"/>
      <c r="K34" s="181"/>
      <c r="L34" s="181"/>
      <c r="M34" s="181"/>
      <c r="N34" s="186"/>
      <c r="O34" s="154"/>
      <c r="P34" s="186"/>
      <c r="Q34" s="154"/>
    </row>
    <row r="35" spans="1:17" x14ac:dyDescent="0.2">
      <c r="A35" s="149" t="s">
        <v>9</v>
      </c>
      <c r="B35" s="158"/>
      <c r="C35" s="148"/>
      <c r="D35" s="188"/>
      <c r="E35" s="154"/>
      <c r="F35" s="148"/>
      <c r="G35" s="148"/>
      <c r="H35" s="148"/>
      <c r="I35" s="148"/>
      <c r="J35" s="181"/>
      <c r="K35" s="181"/>
      <c r="L35" s="181"/>
      <c r="M35" s="181"/>
      <c r="N35" s="186"/>
      <c r="O35" s="154"/>
      <c r="P35" s="186"/>
      <c r="Q35" s="154"/>
    </row>
    <row r="36" spans="1:17" x14ac:dyDescent="0.2">
      <c r="A36" s="149" t="s">
        <v>10</v>
      </c>
      <c r="B36" s="158"/>
      <c r="C36" s="148"/>
      <c r="D36" s="188"/>
      <c r="E36" s="154"/>
      <c r="F36" s="148"/>
      <c r="G36" s="148"/>
      <c r="H36" s="148"/>
      <c r="I36" s="148"/>
      <c r="J36" s="181"/>
      <c r="K36" s="181"/>
      <c r="L36" s="181"/>
      <c r="M36" s="181"/>
      <c r="N36" s="186"/>
      <c r="O36" s="154"/>
      <c r="P36" s="186"/>
      <c r="Q36" s="154"/>
    </row>
    <row r="37" spans="1:17" x14ac:dyDescent="0.2">
      <c r="A37" s="149" t="s">
        <v>11</v>
      </c>
      <c r="B37" s="158"/>
      <c r="C37" s="148"/>
      <c r="D37" s="188"/>
      <c r="E37" s="154"/>
      <c r="F37" s="148"/>
      <c r="G37" s="148"/>
      <c r="H37" s="148"/>
      <c r="I37" s="148"/>
      <c r="J37" s="181"/>
      <c r="K37" s="181"/>
      <c r="L37" s="181"/>
      <c r="M37" s="181"/>
      <c r="N37" s="186"/>
      <c r="O37" s="154"/>
      <c r="P37" s="186"/>
      <c r="Q37" s="154"/>
    </row>
    <row r="38" spans="1:17" x14ac:dyDescent="0.2">
      <c r="A38" s="104" t="s">
        <v>20</v>
      </c>
      <c r="B38" s="112">
        <v>0</v>
      </c>
      <c r="C38" s="103">
        <v>0</v>
      </c>
      <c r="D38" s="112">
        <v>0</v>
      </c>
      <c r="E38" s="103">
        <v>0</v>
      </c>
      <c r="F38" s="103">
        <v>0</v>
      </c>
      <c r="G38" s="103">
        <v>0</v>
      </c>
      <c r="H38" s="181">
        <v>0</v>
      </c>
      <c r="I38" s="181">
        <v>0</v>
      </c>
      <c r="J38" s="181">
        <v>0</v>
      </c>
      <c r="K38" s="181">
        <v>0</v>
      </c>
      <c r="L38" s="181">
        <v>0</v>
      </c>
      <c r="M38" s="181">
        <v>0</v>
      </c>
      <c r="N38" s="103">
        <v>0</v>
      </c>
      <c r="O38" s="103">
        <v>0</v>
      </c>
      <c r="P38" s="103">
        <v>0</v>
      </c>
      <c r="Q38" s="103">
        <v>0</v>
      </c>
    </row>
    <row r="44" spans="1:17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17" x14ac:dyDescent="0.2">
      <c r="A45" s="371"/>
      <c r="B45" s="151"/>
      <c r="C45" s="151"/>
      <c r="D45" s="151"/>
      <c r="E45" s="151"/>
      <c r="F45" s="151"/>
      <c r="G45" s="151"/>
      <c r="H45" s="155"/>
      <c r="I45" s="155"/>
      <c r="J45" s="152"/>
      <c r="K45" s="152"/>
      <c r="L45" s="152"/>
      <c r="M45" s="152"/>
      <c r="N45" s="153"/>
      <c r="O45" s="153"/>
    </row>
    <row r="46" spans="1:17" x14ac:dyDescent="0.2">
      <c r="A46" s="149"/>
      <c r="B46" s="148"/>
      <c r="C46" s="148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17" x14ac:dyDescent="0.2">
      <c r="A47" s="149"/>
      <c r="B47" s="148"/>
      <c r="C47" s="148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17" x14ac:dyDescent="0.2">
      <c r="A48" s="149"/>
      <c r="B48" s="148"/>
      <c r="C48" s="148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49"/>
      <c r="B49" s="148"/>
      <c r="C49" s="148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49"/>
      <c r="B50" s="148"/>
      <c r="C50" s="148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49"/>
      <c r="B51" s="148"/>
      <c r="C51" s="148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49"/>
      <c r="B52" s="148"/>
      <c r="C52" s="148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49"/>
      <c r="B53" s="148"/>
      <c r="C53" s="148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49"/>
      <c r="B54" s="148"/>
      <c r="C54" s="148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49"/>
      <c r="B55" s="148"/>
      <c r="C55" s="148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49"/>
      <c r="B56" s="148"/>
      <c r="C56" s="148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49"/>
      <c r="B57" s="148"/>
      <c r="C57" s="148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60">
    <mergeCell ref="W2:X2"/>
    <mergeCell ref="W3:X3"/>
    <mergeCell ref="Y2:Z2"/>
    <mergeCell ref="Y3:Z3"/>
    <mergeCell ref="W6:W16"/>
    <mergeCell ref="X6:X16"/>
    <mergeCell ref="Y6:Y16"/>
    <mergeCell ref="Z6:Z16"/>
    <mergeCell ref="N44:O44"/>
    <mergeCell ref="A44:A45"/>
    <mergeCell ref="B44:C44"/>
    <mergeCell ref="D44:E44"/>
    <mergeCell ref="F44:G44"/>
    <mergeCell ref="H44:I44"/>
    <mergeCell ref="J44:M44"/>
    <mergeCell ref="S2:V2"/>
    <mergeCell ref="S3:V3"/>
    <mergeCell ref="P2:Q2"/>
    <mergeCell ref="P3:Q3"/>
    <mergeCell ref="P23:Q23"/>
    <mergeCell ref="T5:T7"/>
    <mergeCell ref="U5:U7"/>
    <mergeCell ref="V5:V7"/>
    <mergeCell ref="T8:T16"/>
    <mergeCell ref="U8:U16"/>
    <mergeCell ref="V8:V16"/>
    <mergeCell ref="J23:M23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J24:M24"/>
    <mergeCell ref="N3:O3"/>
    <mergeCell ref="J2:M2"/>
    <mergeCell ref="A2:A4"/>
    <mergeCell ref="B2:C2"/>
    <mergeCell ref="D2:E2"/>
    <mergeCell ref="F2:G2"/>
    <mergeCell ref="H2:I2"/>
    <mergeCell ref="B3:C3"/>
    <mergeCell ref="D3:E3"/>
    <mergeCell ref="N2:O2"/>
    <mergeCell ref="F3:G3"/>
    <mergeCell ref="H3:I3"/>
    <mergeCell ref="J3:M3"/>
    <mergeCell ref="S25:T25"/>
    <mergeCell ref="N5:N16"/>
    <mergeCell ref="O5:O16"/>
    <mergeCell ref="P5:P16"/>
    <mergeCell ref="Q5:Q16"/>
    <mergeCell ref="S5:S7"/>
    <mergeCell ref="S8:S16"/>
    <mergeCell ref="N24:O24"/>
    <mergeCell ref="N23:O23"/>
    <mergeCell ref="P24:Q24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F42BD-8803-4793-80A7-C1FBFECC436F}">
  <dimension ref="A1:AB58"/>
  <sheetViews>
    <sheetView topLeftCell="A28" workbookViewId="0">
      <selection activeCell="A44" sqref="A44:AB61"/>
    </sheetView>
  </sheetViews>
  <sheetFormatPr defaultRowHeight="12.75" x14ac:dyDescent="0.2"/>
  <cols>
    <col min="1" max="1" width="12.7109375" style="161" customWidth="1"/>
    <col min="2" max="28" width="11.7109375" style="161" customWidth="1"/>
    <col min="29" max="16384" width="9.140625" style="161"/>
  </cols>
  <sheetData>
    <row r="1" spans="1:28" ht="15" x14ac:dyDescent="0.2">
      <c r="A1" s="165" t="s">
        <v>214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73" t="s">
        <v>33</v>
      </c>
    </row>
    <row r="2" spans="1:28" ht="15" customHeight="1" x14ac:dyDescent="0.2">
      <c r="A2" s="366">
        <v>2019</v>
      </c>
      <c r="B2" s="389" t="s">
        <v>119</v>
      </c>
      <c r="C2" s="390"/>
      <c r="D2" s="390"/>
      <c r="E2" s="369"/>
      <c r="F2" s="389" t="s">
        <v>118</v>
      </c>
      <c r="G2" s="390"/>
      <c r="H2" s="390"/>
      <c r="I2" s="369"/>
      <c r="J2" s="354" t="s">
        <v>117</v>
      </c>
      <c r="K2" s="350"/>
      <c r="L2" s="354" t="s">
        <v>116</v>
      </c>
      <c r="M2" s="350"/>
      <c r="N2" s="355" t="s">
        <v>115</v>
      </c>
      <c r="O2" s="356"/>
      <c r="P2" s="356"/>
      <c r="Q2" s="357"/>
      <c r="R2" s="355" t="s">
        <v>114</v>
      </c>
      <c r="S2" s="356"/>
      <c r="T2" s="356"/>
      <c r="U2" s="357"/>
      <c r="V2" s="355" t="s">
        <v>113</v>
      </c>
      <c r="W2" s="356"/>
      <c r="X2" s="356"/>
      <c r="Y2" s="357"/>
      <c r="Z2" s="361"/>
      <c r="AA2" s="361"/>
      <c r="AB2" s="361"/>
    </row>
    <row r="3" spans="1:28" ht="12.75" customHeight="1" x14ac:dyDescent="0.2">
      <c r="A3" s="367"/>
      <c r="B3" s="370" t="s">
        <v>12</v>
      </c>
      <c r="C3" s="370"/>
      <c r="D3" s="370" t="s">
        <v>13</v>
      </c>
      <c r="E3" s="370"/>
      <c r="F3" s="370" t="s">
        <v>12</v>
      </c>
      <c r="G3" s="370"/>
      <c r="H3" s="370" t="s">
        <v>13</v>
      </c>
      <c r="I3" s="370"/>
      <c r="J3" s="354" t="s">
        <v>29</v>
      </c>
      <c r="K3" s="350"/>
      <c r="L3" s="354" t="s">
        <v>29</v>
      </c>
      <c r="M3" s="350"/>
      <c r="N3" s="355" t="s">
        <v>14</v>
      </c>
      <c r="O3" s="356"/>
      <c r="P3" s="356"/>
      <c r="Q3" s="357"/>
      <c r="R3" s="355" t="s">
        <v>14</v>
      </c>
      <c r="S3" s="356"/>
      <c r="T3" s="356"/>
      <c r="U3" s="357"/>
      <c r="V3" s="355" t="s">
        <v>14</v>
      </c>
      <c r="W3" s="356"/>
      <c r="X3" s="356"/>
      <c r="Y3" s="357"/>
      <c r="Z3" s="361" t="s">
        <v>15</v>
      </c>
      <c r="AA3" s="361"/>
      <c r="AB3" s="361"/>
    </row>
    <row r="4" spans="1:28" ht="14.25" customHeight="1" x14ac:dyDescent="0.2">
      <c r="A4" s="368"/>
      <c r="B4" s="151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1" t="s">
        <v>16</v>
      </c>
      <c r="I4" s="151" t="s">
        <v>17</v>
      </c>
      <c r="J4" s="155" t="s">
        <v>18</v>
      </c>
      <c r="K4" s="155" t="s">
        <v>17</v>
      </c>
      <c r="L4" s="155" t="s">
        <v>18</v>
      </c>
      <c r="M4" s="155" t="s">
        <v>17</v>
      </c>
      <c r="N4" s="152" t="s">
        <v>35</v>
      </c>
      <c r="O4" s="152" t="s">
        <v>36</v>
      </c>
      <c r="P4" s="152" t="s">
        <v>37</v>
      </c>
      <c r="Q4" s="152" t="s">
        <v>17</v>
      </c>
      <c r="R4" s="152" t="s">
        <v>35</v>
      </c>
      <c r="S4" s="152" t="s">
        <v>36</v>
      </c>
      <c r="T4" s="152" t="s">
        <v>37</v>
      </c>
      <c r="U4" s="152" t="s">
        <v>17</v>
      </c>
      <c r="V4" s="152" t="s">
        <v>35</v>
      </c>
      <c r="W4" s="152" t="s">
        <v>36</v>
      </c>
      <c r="X4" s="152" t="s">
        <v>37</v>
      </c>
      <c r="Y4" s="152" t="s">
        <v>17</v>
      </c>
      <c r="Z4" s="153" t="s">
        <v>23</v>
      </c>
      <c r="AA4" s="153" t="s">
        <v>19</v>
      </c>
      <c r="AB4" s="153" t="s">
        <v>112</v>
      </c>
    </row>
    <row r="5" spans="1:28" x14ac:dyDescent="0.2">
      <c r="A5" s="149" t="s">
        <v>0</v>
      </c>
      <c r="B5" s="391">
        <v>1360</v>
      </c>
      <c r="C5" s="394">
        <v>748204</v>
      </c>
      <c r="D5" s="394">
        <v>156</v>
      </c>
      <c r="E5" s="394">
        <v>78346.320000000007</v>
      </c>
      <c r="F5" s="391">
        <v>235</v>
      </c>
      <c r="G5" s="394">
        <v>129285.25</v>
      </c>
      <c r="H5" s="394">
        <v>156</v>
      </c>
      <c r="I5" s="394">
        <v>78346.320000000007</v>
      </c>
      <c r="J5" s="148">
        <v>0</v>
      </c>
      <c r="K5" s="148">
        <v>67.48</v>
      </c>
      <c r="L5" s="148">
        <v>3666</v>
      </c>
      <c r="M5" s="148">
        <v>3050.9</v>
      </c>
      <c r="N5" s="111">
        <v>7456</v>
      </c>
      <c r="O5" s="111">
        <v>0</v>
      </c>
      <c r="P5" s="111">
        <f t="shared" ref="P5:P16" si="0">N5+O5</f>
        <v>7456</v>
      </c>
      <c r="Q5" s="111">
        <v>28540.2</v>
      </c>
      <c r="R5" s="111">
        <v>406</v>
      </c>
      <c r="S5" s="111">
        <v>0</v>
      </c>
      <c r="T5" s="111">
        <f t="shared" ref="T5:T16" si="1">R5+S5</f>
        <v>406</v>
      </c>
      <c r="U5" s="111">
        <v>1625.37</v>
      </c>
      <c r="V5" s="111">
        <v>1940</v>
      </c>
      <c r="W5" s="111">
        <v>0</v>
      </c>
      <c r="X5" s="111">
        <f t="shared" ref="X5:X16" si="2">V5+W5</f>
        <v>1940</v>
      </c>
      <c r="Y5" s="111">
        <v>7761.11</v>
      </c>
      <c r="Z5" s="329">
        <v>1592</v>
      </c>
      <c r="AA5" s="329">
        <v>57630.400000000001</v>
      </c>
      <c r="AB5" s="329">
        <v>50530.080000000002</v>
      </c>
    </row>
    <row r="6" spans="1:28" x14ac:dyDescent="0.2">
      <c r="A6" s="149" t="s">
        <v>1</v>
      </c>
      <c r="B6" s="392"/>
      <c r="C6" s="395"/>
      <c r="D6" s="395"/>
      <c r="E6" s="395"/>
      <c r="F6" s="392"/>
      <c r="G6" s="395"/>
      <c r="H6" s="395"/>
      <c r="I6" s="395"/>
      <c r="J6" s="148">
        <v>0</v>
      </c>
      <c r="K6" s="148">
        <v>67.48</v>
      </c>
      <c r="L6" s="148">
        <v>2965</v>
      </c>
      <c r="M6" s="148">
        <v>2494.2800000000002</v>
      </c>
      <c r="N6" s="111">
        <v>5948</v>
      </c>
      <c r="O6" s="111">
        <v>0</v>
      </c>
      <c r="P6" s="111">
        <f t="shared" si="0"/>
        <v>5948</v>
      </c>
      <c r="Q6" s="111">
        <v>22892.84</v>
      </c>
      <c r="R6" s="111">
        <v>354</v>
      </c>
      <c r="S6" s="111">
        <v>0</v>
      </c>
      <c r="T6" s="111">
        <f t="shared" si="1"/>
        <v>354</v>
      </c>
      <c r="U6" s="111">
        <v>1430.64</v>
      </c>
      <c r="V6" s="111">
        <v>1676</v>
      </c>
      <c r="W6" s="111">
        <v>0</v>
      </c>
      <c r="X6" s="111">
        <f t="shared" si="2"/>
        <v>1676</v>
      </c>
      <c r="Y6" s="111">
        <v>6772.44</v>
      </c>
      <c r="Z6" s="330"/>
      <c r="AA6" s="330"/>
      <c r="AB6" s="330"/>
    </row>
    <row r="7" spans="1:28" x14ac:dyDescent="0.2">
      <c r="A7" s="149" t="s">
        <v>2</v>
      </c>
      <c r="B7" s="392"/>
      <c r="C7" s="395"/>
      <c r="D7" s="395"/>
      <c r="E7" s="395"/>
      <c r="F7" s="392"/>
      <c r="G7" s="395"/>
      <c r="H7" s="395"/>
      <c r="I7" s="395"/>
      <c r="J7" s="148">
        <v>0</v>
      </c>
      <c r="K7" s="148">
        <v>67.48</v>
      </c>
      <c r="L7" s="148">
        <v>2274</v>
      </c>
      <c r="M7" s="148">
        <v>1645.56</v>
      </c>
      <c r="N7" s="111">
        <v>5580</v>
      </c>
      <c r="O7" s="111">
        <v>0</v>
      </c>
      <c r="P7" s="111">
        <f t="shared" si="0"/>
        <v>5580</v>
      </c>
      <c r="Q7" s="111">
        <v>21432.3</v>
      </c>
      <c r="R7" s="111">
        <v>268</v>
      </c>
      <c r="S7" s="111">
        <v>0</v>
      </c>
      <c r="T7" s="111">
        <f t="shared" si="1"/>
        <v>268</v>
      </c>
      <c r="U7" s="111">
        <v>1101.74</v>
      </c>
      <c r="V7" s="111">
        <v>1637</v>
      </c>
      <c r="W7" s="111">
        <v>0</v>
      </c>
      <c r="X7" s="111">
        <f t="shared" si="2"/>
        <v>1637</v>
      </c>
      <c r="Y7" s="111">
        <v>6594.91</v>
      </c>
      <c r="Z7" s="330"/>
      <c r="AA7" s="330"/>
      <c r="AB7" s="330"/>
    </row>
    <row r="8" spans="1:28" x14ac:dyDescent="0.2">
      <c r="A8" s="149" t="s">
        <v>3</v>
      </c>
      <c r="B8" s="392"/>
      <c r="C8" s="395"/>
      <c r="D8" s="395"/>
      <c r="E8" s="395"/>
      <c r="F8" s="392"/>
      <c r="G8" s="395"/>
      <c r="H8" s="395"/>
      <c r="I8" s="395"/>
      <c r="J8" s="148">
        <v>0</v>
      </c>
      <c r="K8" s="148">
        <v>67.48</v>
      </c>
      <c r="L8" s="148">
        <v>1307</v>
      </c>
      <c r="M8" s="148">
        <v>1177.3399999999999</v>
      </c>
      <c r="N8" s="111">
        <v>4243</v>
      </c>
      <c r="O8" s="111">
        <v>0</v>
      </c>
      <c r="P8" s="111">
        <f t="shared" si="0"/>
        <v>4243</v>
      </c>
      <c r="Q8" s="111">
        <v>16507.72</v>
      </c>
      <c r="R8" s="111">
        <v>310</v>
      </c>
      <c r="S8" s="111">
        <v>0</v>
      </c>
      <c r="T8" s="111">
        <f t="shared" si="1"/>
        <v>310</v>
      </c>
      <c r="U8" s="111">
        <v>1269.1400000000001</v>
      </c>
      <c r="V8" s="111">
        <v>1722</v>
      </c>
      <c r="W8" s="111">
        <v>0</v>
      </c>
      <c r="X8" s="111">
        <f t="shared" si="2"/>
        <v>1722</v>
      </c>
      <c r="Y8" s="111">
        <v>6960.19</v>
      </c>
      <c r="Z8" s="330"/>
      <c r="AA8" s="330"/>
      <c r="AB8" s="330"/>
    </row>
    <row r="9" spans="1:28" x14ac:dyDescent="0.2">
      <c r="A9" s="149" t="s">
        <v>4</v>
      </c>
      <c r="B9" s="392"/>
      <c r="C9" s="395"/>
      <c r="D9" s="395"/>
      <c r="E9" s="395"/>
      <c r="F9" s="392"/>
      <c r="G9" s="395"/>
      <c r="H9" s="395"/>
      <c r="I9" s="395"/>
      <c r="J9" s="148">
        <v>0</v>
      </c>
      <c r="K9" s="148">
        <v>67.48</v>
      </c>
      <c r="L9" s="148">
        <v>1116</v>
      </c>
      <c r="M9" s="148">
        <v>1025.3900000000001</v>
      </c>
      <c r="N9" s="111">
        <v>4586</v>
      </c>
      <c r="O9" s="111">
        <v>0</v>
      </c>
      <c r="P9" s="111">
        <f t="shared" si="0"/>
        <v>4586</v>
      </c>
      <c r="Q9" s="111">
        <v>17792.22</v>
      </c>
      <c r="R9" s="111">
        <v>367</v>
      </c>
      <c r="S9" s="111">
        <v>0</v>
      </c>
      <c r="T9" s="111">
        <f t="shared" si="1"/>
        <v>367</v>
      </c>
      <c r="U9" s="111">
        <v>1507.33</v>
      </c>
      <c r="V9" s="111">
        <v>2385</v>
      </c>
      <c r="W9" s="111">
        <v>0</v>
      </c>
      <c r="X9" s="111">
        <f t="shared" si="2"/>
        <v>2385</v>
      </c>
      <c r="Y9" s="111">
        <v>9559.89</v>
      </c>
      <c r="Z9" s="330"/>
      <c r="AA9" s="330"/>
      <c r="AB9" s="330"/>
    </row>
    <row r="10" spans="1:28" x14ac:dyDescent="0.2">
      <c r="A10" s="149" t="s">
        <v>5</v>
      </c>
      <c r="B10" s="392"/>
      <c r="C10" s="395"/>
      <c r="D10" s="395"/>
      <c r="E10" s="395"/>
      <c r="F10" s="392"/>
      <c r="G10" s="395"/>
      <c r="H10" s="395"/>
      <c r="I10" s="395"/>
      <c r="J10" s="148">
        <v>0</v>
      </c>
      <c r="K10" s="148">
        <v>67.48</v>
      </c>
      <c r="L10" s="148">
        <v>234</v>
      </c>
      <c r="M10" s="148">
        <v>324.7</v>
      </c>
      <c r="N10" s="111">
        <v>2342</v>
      </c>
      <c r="O10" s="111">
        <v>0</v>
      </c>
      <c r="P10" s="111">
        <f t="shared" si="0"/>
        <v>2342</v>
      </c>
      <c r="Q10" s="111">
        <v>9388.58</v>
      </c>
      <c r="R10" s="111">
        <v>77</v>
      </c>
      <c r="S10" s="111">
        <v>0</v>
      </c>
      <c r="T10" s="111">
        <f t="shared" si="1"/>
        <v>77</v>
      </c>
      <c r="U10" s="111">
        <v>361.82</v>
      </c>
      <c r="V10" s="111">
        <v>1180</v>
      </c>
      <c r="W10" s="111">
        <v>0</v>
      </c>
      <c r="X10" s="111">
        <f t="shared" si="2"/>
        <v>1180</v>
      </c>
      <c r="Y10" s="111">
        <v>4766.17</v>
      </c>
      <c r="Z10" s="330"/>
      <c r="AA10" s="330"/>
      <c r="AB10" s="330"/>
    </row>
    <row r="11" spans="1:28" x14ac:dyDescent="0.2">
      <c r="A11" s="149" t="s">
        <v>6</v>
      </c>
      <c r="B11" s="392"/>
      <c r="C11" s="395"/>
      <c r="D11" s="395"/>
      <c r="E11" s="395"/>
      <c r="F11" s="392"/>
      <c r="G11" s="395"/>
      <c r="H11" s="395"/>
      <c r="I11" s="395"/>
      <c r="J11" s="148">
        <v>0</v>
      </c>
      <c r="K11" s="148">
        <v>67.48</v>
      </c>
      <c r="L11" s="148">
        <v>276</v>
      </c>
      <c r="M11" s="148">
        <v>358.49</v>
      </c>
      <c r="N11" s="111">
        <v>1802</v>
      </c>
      <c r="O11" s="111">
        <v>0</v>
      </c>
      <c r="P11" s="111">
        <f t="shared" si="0"/>
        <v>1802</v>
      </c>
      <c r="Q11" s="111">
        <v>7366.31</v>
      </c>
      <c r="R11" s="111">
        <v>229</v>
      </c>
      <c r="S11" s="111">
        <v>0</v>
      </c>
      <c r="T11" s="111">
        <f t="shared" si="1"/>
        <v>229</v>
      </c>
      <c r="U11" s="111">
        <v>986.45</v>
      </c>
      <c r="V11" s="111">
        <v>964</v>
      </c>
      <c r="W11" s="111">
        <v>0</v>
      </c>
      <c r="X11" s="111">
        <f t="shared" si="2"/>
        <v>964</v>
      </c>
      <c r="Y11" s="111">
        <v>4219.12</v>
      </c>
      <c r="Z11" s="330"/>
      <c r="AA11" s="330"/>
      <c r="AB11" s="330"/>
    </row>
    <row r="12" spans="1:28" x14ac:dyDescent="0.2">
      <c r="A12" s="149" t="s">
        <v>7</v>
      </c>
      <c r="B12" s="392"/>
      <c r="C12" s="395"/>
      <c r="D12" s="395"/>
      <c r="E12" s="395"/>
      <c r="F12" s="392"/>
      <c r="G12" s="395"/>
      <c r="H12" s="395"/>
      <c r="I12" s="395"/>
      <c r="J12" s="148">
        <v>0</v>
      </c>
      <c r="K12" s="148">
        <v>67.48</v>
      </c>
      <c r="L12" s="148">
        <v>266</v>
      </c>
      <c r="M12" s="148">
        <v>350.03</v>
      </c>
      <c r="N12" s="111">
        <v>1923</v>
      </c>
      <c r="O12" s="111">
        <v>0</v>
      </c>
      <c r="P12" s="111">
        <f t="shared" si="0"/>
        <v>1923</v>
      </c>
      <c r="Q12" s="111">
        <v>7819.46</v>
      </c>
      <c r="R12" s="111">
        <v>52</v>
      </c>
      <c r="S12" s="111">
        <v>0</v>
      </c>
      <c r="T12" s="111">
        <f t="shared" si="1"/>
        <v>52</v>
      </c>
      <c r="U12" s="111">
        <v>275.97000000000003</v>
      </c>
      <c r="V12" s="111">
        <v>329</v>
      </c>
      <c r="W12" s="111">
        <v>0</v>
      </c>
      <c r="X12" s="111">
        <f t="shared" si="2"/>
        <v>329</v>
      </c>
      <c r="Y12" s="111">
        <v>1616.05</v>
      </c>
      <c r="Z12" s="330"/>
      <c r="AA12" s="330"/>
      <c r="AB12" s="330"/>
    </row>
    <row r="13" spans="1:28" x14ac:dyDescent="0.2">
      <c r="A13" s="149" t="s">
        <v>8</v>
      </c>
      <c r="B13" s="392"/>
      <c r="C13" s="395"/>
      <c r="D13" s="395"/>
      <c r="E13" s="395"/>
      <c r="F13" s="392"/>
      <c r="G13" s="395"/>
      <c r="H13" s="395"/>
      <c r="I13" s="395"/>
      <c r="J13" s="148">
        <v>0</v>
      </c>
      <c r="K13" s="148">
        <v>67.48</v>
      </c>
      <c r="L13" s="148">
        <v>585</v>
      </c>
      <c r="M13" s="148">
        <v>603.29999999999995</v>
      </c>
      <c r="N13" s="234">
        <v>3816</v>
      </c>
      <c r="O13" s="234">
        <v>0</v>
      </c>
      <c r="P13" s="234">
        <f>N13+O13</f>
        <v>3816</v>
      </c>
      <c r="Q13" s="111">
        <v>14908.26</v>
      </c>
      <c r="R13" s="111">
        <v>240</v>
      </c>
      <c r="S13" s="111">
        <v>0</v>
      </c>
      <c r="T13" s="111">
        <f t="shared" si="1"/>
        <v>240</v>
      </c>
      <c r="U13" s="111">
        <v>1010.49</v>
      </c>
      <c r="V13" s="111">
        <v>1833</v>
      </c>
      <c r="W13" s="111">
        <v>0</v>
      </c>
      <c r="X13" s="111">
        <f t="shared" si="2"/>
        <v>1833</v>
      </c>
      <c r="Y13" s="111">
        <v>7579.34</v>
      </c>
      <c r="Z13" s="330"/>
      <c r="AA13" s="330"/>
      <c r="AB13" s="330"/>
    </row>
    <row r="14" spans="1:28" x14ac:dyDescent="0.2">
      <c r="A14" s="149" t="s">
        <v>9</v>
      </c>
      <c r="B14" s="392"/>
      <c r="C14" s="395"/>
      <c r="D14" s="395"/>
      <c r="E14" s="395"/>
      <c r="F14" s="392"/>
      <c r="G14" s="395"/>
      <c r="H14" s="395"/>
      <c r="I14" s="395"/>
      <c r="J14" s="148">
        <v>0</v>
      </c>
      <c r="K14" s="148">
        <v>67.48</v>
      </c>
      <c r="L14" s="148">
        <v>1180</v>
      </c>
      <c r="M14" s="148">
        <v>1076</v>
      </c>
      <c r="N14" s="111">
        <v>5034</v>
      </c>
      <c r="O14" s="111">
        <v>0</v>
      </c>
      <c r="P14" s="111">
        <f>N14+O14</f>
        <v>5034</v>
      </c>
      <c r="Q14" s="111">
        <v>19469.96</v>
      </c>
      <c r="R14" s="111">
        <v>305</v>
      </c>
      <c r="S14" s="111">
        <v>0</v>
      </c>
      <c r="T14" s="111">
        <f t="shared" si="1"/>
        <v>305</v>
      </c>
      <c r="U14" s="111">
        <v>1243.76</v>
      </c>
      <c r="V14" s="111">
        <v>1820</v>
      </c>
      <c r="W14" s="111">
        <v>0</v>
      </c>
      <c r="X14" s="111">
        <f t="shared" si="2"/>
        <v>1820</v>
      </c>
      <c r="Y14" s="111">
        <v>7295.72</v>
      </c>
      <c r="Z14" s="330"/>
      <c r="AA14" s="330"/>
      <c r="AB14" s="330"/>
    </row>
    <row r="15" spans="1:28" x14ac:dyDescent="0.2">
      <c r="A15" s="149" t="s">
        <v>10</v>
      </c>
      <c r="B15" s="392"/>
      <c r="C15" s="395"/>
      <c r="D15" s="395"/>
      <c r="E15" s="395"/>
      <c r="F15" s="392"/>
      <c r="G15" s="395"/>
      <c r="H15" s="395"/>
      <c r="I15" s="395"/>
      <c r="J15" s="148">
        <v>0</v>
      </c>
      <c r="K15" s="148">
        <v>67.48</v>
      </c>
      <c r="L15" s="148">
        <v>2168</v>
      </c>
      <c r="M15" s="148">
        <v>1861.13</v>
      </c>
      <c r="N15" s="111">
        <v>6964</v>
      </c>
      <c r="O15" s="111">
        <v>0</v>
      </c>
      <c r="P15" s="111">
        <f t="shared" si="0"/>
        <v>6964</v>
      </c>
      <c r="Q15" s="111">
        <v>26697.52</v>
      </c>
      <c r="R15" s="111">
        <v>450</v>
      </c>
      <c r="S15" s="111">
        <v>0</v>
      </c>
      <c r="T15" s="111">
        <f t="shared" si="1"/>
        <v>450</v>
      </c>
      <c r="U15" s="111">
        <v>1793.38</v>
      </c>
      <c r="V15" s="111">
        <v>2037</v>
      </c>
      <c r="W15" s="111">
        <v>0</v>
      </c>
      <c r="X15" s="111">
        <f t="shared" si="2"/>
        <v>2037</v>
      </c>
      <c r="Y15" s="111">
        <v>8140.5</v>
      </c>
      <c r="Z15" s="330"/>
      <c r="AA15" s="330"/>
      <c r="AB15" s="330"/>
    </row>
    <row r="16" spans="1:28" x14ac:dyDescent="0.2">
      <c r="A16" s="149" t="s">
        <v>11</v>
      </c>
      <c r="B16" s="393"/>
      <c r="C16" s="396"/>
      <c r="D16" s="396"/>
      <c r="E16" s="396"/>
      <c r="F16" s="393"/>
      <c r="G16" s="396"/>
      <c r="H16" s="396"/>
      <c r="I16" s="396"/>
      <c r="J16" s="148">
        <v>0</v>
      </c>
      <c r="K16" s="148">
        <v>67.48</v>
      </c>
      <c r="L16" s="148">
        <v>3082</v>
      </c>
      <c r="M16" s="148">
        <v>2587.14</v>
      </c>
      <c r="N16" s="111">
        <v>5953</v>
      </c>
      <c r="O16" s="111">
        <v>0</v>
      </c>
      <c r="P16" s="111">
        <f t="shared" si="0"/>
        <v>5953</v>
      </c>
      <c r="Q16" s="111">
        <v>22911.57</v>
      </c>
      <c r="R16" s="111">
        <f>737-R15</f>
        <v>287</v>
      </c>
      <c r="S16" s="111">
        <v>0</v>
      </c>
      <c r="T16" s="111">
        <f t="shared" si="1"/>
        <v>287</v>
      </c>
      <c r="U16" s="111">
        <v>1179.33</v>
      </c>
      <c r="V16" s="111">
        <f>3160-V15</f>
        <v>1123</v>
      </c>
      <c r="W16" s="111">
        <v>0</v>
      </c>
      <c r="X16" s="111">
        <f t="shared" si="2"/>
        <v>1123</v>
      </c>
      <c r="Y16" s="111">
        <v>4701.6499999999996</v>
      </c>
      <c r="Z16" s="331"/>
      <c r="AA16" s="331"/>
      <c r="AB16" s="331"/>
    </row>
    <row r="17" spans="1:28" x14ac:dyDescent="0.2">
      <c r="A17" s="104" t="s">
        <v>20</v>
      </c>
      <c r="B17" s="112">
        <f t="shared" ref="B17:P17" si="3">SUM(B5:B16)</f>
        <v>1360</v>
      </c>
      <c r="C17" s="103">
        <f t="shared" si="3"/>
        <v>748204</v>
      </c>
      <c r="D17" s="103">
        <f t="shared" si="3"/>
        <v>156</v>
      </c>
      <c r="E17" s="103">
        <f t="shared" si="3"/>
        <v>78346.320000000007</v>
      </c>
      <c r="F17" s="112">
        <f t="shared" si="3"/>
        <v>235</v>
      </c>
      <c r="G17" s="103">
        <f t="shared" si="3"/>
        <v>129285.25</v>
      </c>
      <c r="H17" s="103">
        <f t="shared" si="3"/>
        <v>156</v>
      </c>
      <c r="I17" s="103">
        <f t="shared" si="3"/>
        <v>78346.320000000007</v>
      </c>
      <c r="J17" s="103">
        <f t="shared" si="3"/>
        <v>0</v>
      </c>
      <c r="K17" s="103">
        <f t="shared" si="3"/>
        <v>809.7600000000001</v>
      </c>
      <c r="L17" s="103">
        <f t="shared" si="3"/>
        <v>19119</v>
      </c>
      <c r="M17" s="103">
        <f t="shared" si="3"/>
        <v>16554.259999999998</v>
      </c>
      <c r="N17" s="103">
        <f t="shared" si="3"/>
        <v>55647</v>
      </c>
      <c r="O17" s="103">
        <f t="shared" si="3"/>
        <v>0</v>
      </c>
      <c r="P17" s="103">
        <f t="shared" si="3"/>
        <v>55647</v>
      </c>
      <c r="Q17" s="103">
        <f>SUM(Q5:Q16)</f>
        <v>215726.94</v>
      </c>
      <c r="R17" s="103">
        <f t="shared" ref="R17:X17" si="4">SUM(R5:R16)</f>
        <v>3345</v>
      </c>
      <c r="S17" s="103">
        <f t="shared" si="4"/>
        <v>0</v>
      </c>
      <c r="T17" s="103">
        <f t="shared" si="4"/>
        <v>3345</v>
      </c>
      <c r="U17" s="103">
        <f t="shared" si="4"/>
        <v>13785.42</v>
      </c>
      <c r="V17" s="103">
        <f t="shared" si="4"/>
        <v>18646</v>
      </c>
      <c r="W17" s="103">
        <f t="shared" si="4"/>
        <v>0</v>
      </c>
      <c r="X17" s="103">
        <f t="shared" si="4"/>
        <v>18646</v>
      </c>
      <c r="Y17" s="103">
        <f>SUM(Y5:Y16)</f>
        <v>75967.09</v>
      </c>
      <c r="Z17" s="258">
        <f>SUM(Z5:Z16)</f>
        <v>1592</v>
      </c>
      <c r="AA17" s="258">
        <f>SUM(AA5:AA16)</f>
        <v>57630.400000000001</v>
      </c>
      <c r="AB17" s="258">
        <f>SUM(AB5:AB16)</f>
        <v>50530.080000000002</v>
      </c>
    </row>
    <row r="18" spans="1:28" x14ac:dyDescent="0.2">
      <c r="A18" s="162"/>
      <c r="B18" s="162"/>
      <c r="C18" s="166"/>
      <c r="D18" s="171"/>
      <c r="E18" s="172"/>
      <c r="F18" s="162"/>
      <c r="G18" s="166"/>
      <c r="H18" s="171"/>
      <c r="I18" s="172"/>
      <c r="J18" s="171"/>
      <c r="K18" s="172"/>
      <c r="L18" s="171"/>
      <c r="M18" s="172"/>
      <c r="N18" s="167"/>
      <c r="O18" s="167"/>
      <c r="P18" s="167"/>
      <c r="Q18" s="168"/>
      <c r="R18" s="167"/>
      <c r="S18" s="167"/>
      <c r="T18" s="167"/>
      <c r="U18" s="168"/>
      <c r="V18" s="167"/>
      <c r="W18" s="167"/>
      <c r="X18" s="167"/>
      <c r="Y18" s="168"/>
      <c r="Z18" s="120"/>
      <c r="AA18" s="120"/>
      <c r="AB18" s="168"/>
    </row>
    <row r="19" spans="1:28" x14ac:dyDescent="0.2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</row>
    <row r="23" spans="1:28" x14ac:dyDescent="0.2">
      <c r="A23" s="366">
        <v>2020</v>
      </c>
      <c r="B23" s="389" t="s">
        <v>119</v>
      </c>
      <c r="C23" s="390"/>
      <c r="D23" s="390"/>
      <c r="E23" s="369"/>
      <c r="F23" s="389" t="s">
        <v>118</v>
      </c>
      <c r="G23" s="390"/>
      <c r="H23" s="390"/>
      <c r="I23" s="369"/>
      <c r="J23" s="354" t="s">
        <v>117</v>
      </c>
      <c r="K23" s="350"/>
      <c r="L23" s="354" t="s">
        <v>116</v>
      </c>
      <c r="M23" s="350"/>
      <c r="N23" s="355" t="s">
        <v>115</v>
      </c>
      <c r="O23" s="356"/>
      <c r="P23" s="356"/>
      <c r="Q23" s="357"/>
      <c r="R23" s="355" t="s">
        <v>114</v>
      </c>
      <c r="S23" s="356"/>
      <c r="T23" s="356"/>
      <c r="U23" s="357"/>
      <c r="V23" s="355" t="s">
        <v>113</v>
      </c>
      <c r="W23" s="356"/>
      <c r="X23" s="356"/>
      <c r="Y23" s="357"/>
      <c r="Z23" s="361"/>
      <c r="AA23" s="361"/>
      <c r="AB23" s="361"/>
    </row>
    <row r="24" spans="1:28" x14ac:dyDescent="0.2">
      <c r="A24" s="367"/>
      <c r="B24" s="370" t="s">
        <v>12</v>
      </c>
      <c r="C24" s="370"/>
      <c r="D24" s="370" t="s">
        <v>13</v>
      </c>
      <c r="E24" s="370"/>
      <c r="F24" s="370" t="s">
        <v>12</v>
      </c>
      <c r="G24" s="370"/>
      <c r="H24" s="370" t="s">
        <v>13</v>
      </c>
      <c r="I24" s="370"/>
      <c r="J24" s="354" t="s">
        <v>29</v>
      </c>
      <c r="K24" s="350"/>
      <c r="L24" s="354" t="s">
        <v>29</v>
      </c>
      <c r="M24" s="350"/>
      <c r="N24" s="355" t="s">
        <v>14</v>
      </c>
      <c r="O24" s="356"/>
      <c r="P24" s="356"/>
      <c r="Q24" s="357"/>
      <c r="R24" s="355" t="s">
        <v>14</v>
      </c>
      <c r="S24" s="356"/>
      <c r="T24" s="356"/>
      <c r="U24" s="357"/>
      <c r="V24" s="355" t="s">
        <v>14</v>
      </c>
      <c r="W24" s="356"/>
      <c r="X24" s="356"/>
      <c r="Y24" s="357"/>
      <c r="Z24" s="361" t="s">
        <v>15</v>
      </c>
      <c r="AA24" s="361"/>
      <c r="AB24" s="361"/>
    </row>
    <row r="25" spans="1:28" ht="14.25" x14ac:dyDescent="0.2">
      <c r="A25" s="368"/>
      <c r="B25" s="151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1" t="s">
        <v>16</v>
      </c>
      <c r="I25" s="151" t="s">
        <v>17</v>
      </c>
      <c r="J25" s="155" t="s">
        <v>18</v>
      </c>
      <c r="K25" s="155" t="s">
        <v>17</v>
      </c>
      <c r="L25" s="155" t="s">
        <v>18</v>
      </c>
      <c r="M25" s="155" t="s">
        <v>17</v>
      </c>
      <c r="N25" s="152" t="s">
        <v>35</v>
      </c>
      <c r="O25" s="152" t="s">
        <v>36</v>
      </c>
      <c r="P25" s="152" t="s">
        <v>37</v>
      </c>
      <c r="Q25" s="152" t="s">
        <v>17</v>
      </c>
      <c r="R25" s="152" t="s">
        <v>35</v>
      </c>
      <c r="S25" s="152" t="s">
        <v>36</v>
      </c>
      <c r="T25" s="152" t="s">
        <v>37</v>
      </c>
      <c r="U25" s="152" t="s">
        <v>17</v>
      </c>
      <c r="V25" s="152" t="s">
        <v>35</v>
      </c>
      <c r="W25" s="152" t="s">
        <v>36</v>
      </c>
      <c r="X25" s="152" t="s">
        <v>37</v>
      </c>
      <c r="Y25" s="152" t="s">
        <v>17</v>
      </c>
      <c r="Z25" s="153" t="s">
        <v>23</v>
      </c>
      <c r="AA25" s="153" t="s">
        <v>19</v>
      </c>
      <c r="AB25" s="153" t="s">
        <v>112</v>
      </c>
    </row>
    <row r="26" spans="1:28" x14ac:dyDescent="0.2">
      <c r="A26" s="149" t="s">
        <v>0</v>
      </c>
      <c r="B26" s="391">
        <v>1225</v>
      </c>
      <c r="C26" s="394">
        <v>689785.25</v>
      </c>
      <c r="D26" s="394">
        <v>150.5</v>
      </c>
      <c r="E26" s="394">
        <v>77466.87</v>
      </c>
      <c r="F26" s="391">
        <v>226</v>
      </c>
      <c r="G26" s="394">
        <v>77466.87</v>
      </c>
      <c r="H26" s="394">
        <v>150.5</v>
      </c>
      <c r="I26" s="394">
        <v>127258.34</v>
      </c>
      <c r="J26" s="148">
        <v>0</v>
      </c>
      <c r="K26" s="394">
        <v>811.8</v>
      </c>
      <c r="L26" s="148">
        <v>2667</v>
      </c>
      <c r="M26" s="394">
        <v>12076.91</v>
      </c>
      <c r="N26" s="111">
        <v>6723</v>
      </c>
      <c r="O26" s="111">
        <v>0</v>
      </c>
      <c r="P26" s="111">
        <f t="shared" ref="P26:P38" si="5">N26+O26</f>
        <v>6723</v>
      </c>
      <c r="Q26" s="111">
        <v>30628.27</v>
      </c>
      <c r="R26" s="397">
        <v>1034</v>
      </c>
      <c r="S26" s="397">
        <v>0</v>
      </c>
      <c r="T26" s="397">
        <f>R26+S26</f>
        <v>1034</v>
      </c>
      <c r="U26" s="397">
        <v>5722.82</v>
      </c>
      <c r="V26" s="397">
        <v>5022</v>
      </c>
      <c r="W26" s="397">
        <v>0</v>
      </c>
      <c r="X26" s="397">
        <f>V26+W26</f>
        <v>5022</v>
      </c>
      <c r="Y26" s="397">
        <v>24440.87</v>
      </c>
      <c r="Z26" s="400" t="s">
        <v>111</v>
      </c>
      <c r="AA26" s="400" t="s">
        <v>111</v>
      </c>
      <c r="AB26" s="403" t="e">
        <f>Z26*58.26</f>
        <v>#VALUE!</v>
      </c>
    </row>
    <row r="27" spans="1:28" x14ac:dyDescent="0.2">
      <c r="A27" s="149" t="s">
        <v>1</v>
      </c>
      <c r="B27" s="392"/>
      <c r="C27" s="395"/>
      <c r="D27" s="395"/>
      <c r="E27" s="395"/>
      <c r="F27" s="392"/>
      <c r="G27" s="395"/>
      <c r="H27" s="395"/>
      <c r="I27" s="395"/>
      <c r="J27" s="148">
        <v>0</v>
      </c>
      <c r="K27" s="395"/>
      <c r="L27" s="148">
        <v>1636.25</v>
      </c>
      <c r="M27" s="395"/>
      <c r="N27" s="111">
        <v>6194</v>
      </c>
      <c r="O27" s="111">
        <v>0</v>
      </c>
      <c r="P27" s="111">
        <f t="shared" si="5"/>
        <v>6194</v>
      </c>
      <c r="Q27" s="111">
        <v>28268.25</v>
      </c>
      <c r="R27" s="398"/>
      <c r="S27" s="398"/>
      <c r="T27" s="398"/>
      <c r="U27" s="398"/>
      <c r="V27" s="398"/>
      <c r="W27" s="398"/>
      <c r="X27" s="398"/>
      <c r="Y27" s="398"/>
      <c r="Z27" s="401"/>
      <c r="AA27" s="401"/>
      <c r="AB27" s="404"/>
    </row>
    <row r="28" spans="1:28" x14ac:dyDescent="0.2">
      <c r="A28" s="149" t="s">
        <v>2</v>
      </c>
      <c r="B28" s="392"/>
      <c r="C28" s="395"/>
      <c r="D28" s="395"/>
      <c r="E28" s="395"/>
      <c r="F28" s="392"/>
      <c r="G28" s="395"/>
      <c r="H28" s="395"/>
      <c r="I28" s="395"/>
      <c r="J28" s="148">
        <v>0</v>
      </c>
      <c r="K28" s="395"/>
      <c r="L28" s="148">
        <v>1721.25</v>
      </c>
      <c r="M28" s="395"/>
      <c r="N28" s="111">
        <v>3432</v>
      </c>
      <c r="O28" s="111">
        <v>0</v>
      </c>
      <c r="P28" s="111">
        <f t="shared" si="5"/>
        <v>3432</v>
      </c>
      <c r="Q28" s="111">
        <v>15946.2</v>
      </c>
      <c r="R28" s="399"/>
      <c r="S28" s="399"/>
      <c r="T28" s="399"/>
      <c r="U28" s="399"/>
      <c r="V28" s="398"/>
      <c r="W28" s="398"/>
      <c r="X28" s="398"/>
      <c r="Y28" s="398"/>
      <c r="Z28" s="401"/>
      <c r="AA28" s="401"/>
      <c r="AB28" s="404"/>
    </row>
    <row r="29" spans="1:28" x14ac:dyDescent="0.2">
      <c r="A29" s="149" t="s">
        <v>3</v>
      </c>
      <c r="B29" s="392"/>
      <c r="C29" s="395"/>
      <c r="D29" s="395"/>
      <c r="E29" s="395"/>
      <c r="F29" s="392"/>
      <c r="G29" s="395"/>
      <c r="H29" s="395"/>
      <c r="I29" s="395"/>
      <c r="J29" s="148">
        <v>0</v>
      </c>
      <c r="K29" s="395"/>
      <c r="L29" s="148">
        <v>935</v>
      </c>
      <c r="M29" s="395"/>
      <c r="N29" s="111">
        <v>2509</v>
      </c>
      <c r="O29" s="111">
        <v>0</v>
      </c>
      <c r="P29" s="111">
        <f t="shared" si="5"/>
        <v>2509</v>
      </c>
      <c r="Q29" s="111">
        <v>11828</v>
      </c>
      <c r="R29" s="111">
        <v>0</v>
      </c>
      <c r="S29" s="111">
        <v>0</v>
      </c>
      <c r="T29" s="111">
        <f t="shared" ref="T29:T38" si="6">R29+S29</f>
        <v>0</v>
      </c>
      <c r="U29" s="111">
        <v>84.86</v>
      </c>
      <c r="V29" s="399"/>
      <c r="W29" s="399"/>
      <c r="X29" s="399"/>
      <c r="Y29" s="399"/>
      <c r="Z29" s="402"/>
      <c r="AA29" s="402"/>
      <c r="AB29" s="405"/>
    </row>
    <row r="30" spans="1:28" x14ac:dyDescent="0.2">
      <c r="A30" s="149" t="s">
        <v>4</v>
      </c>
      <c r="B30" s="392"/>
      <c r="C30" s="395"/>
      <c r="D30" s="395"/>
      <c r="E30" s="395"/>
      <c r="F30" s="392"/>
      <c r="G30" s="395"/>
      <c r="H30" s="395"/>
      <c r="I30" s="395"/>
      <c r="J30" s="148">
        <v>0</v>
      </c>
      <c r="K30" s="395"/>
      <c r="L30" s="148">
        <v>605.62</v>
      </c>
      <c r="M30" s="395"/>
      <c r="N30" s="111">
        <v>2383</v>
      </c>
      <c r="O30" s="111">
        <v>0</v>
      </c>
      <c r="P30" s="111">
        <f t="shared" si="5"/>
        <v>2383</v>
      </c>
      <c r="Q30" s="111">
        <v>11266.32</v>
      </c>
      <c r="R30" s="111">
        <v>54</v>
      </c>
      <c r="S30" s="111">
        <v>0</v>
      </c>
      <c r="T30" s="111">
        <f t="shared" si="6"/>
        <v>54</v>
      </c>
      <c r="U30" s="111">
        <v>346.99</v>
      </c>
      <c r="V30" s="111">
        <v>391</v>
      </c>
      <c r="W30" s="111">
        <v>0</v>
      </c>
      <c r="X30" s="111">
        <f t="shared" ref="X30:X38" si="7">V30+W30</f>
        <v>391</v>
      </c>
      <c r="Y30" s="111">
        <v>2253.4499999999998</v>
      </c>
      <c r="Z30" s="358">
        <v>601</v>
      </c>
      <c r="AA30" s="358">
        <v>24340.5</v>
      </c>
      <c r="AB30" s="394">
        <v>21022.98</v>
      </c>
    </row>
    <row r="31" spans="1:28" x14ac:dyDescent="0.2">
      <c r="A31" s="149" t="s">
        <v>5</v>
      </c>
      <c r="B31" s="392"/>
      <c r="C31" s="395"/>
      <c r="D31" s="395"/>
      <c r="E31" s="395"/>
      <c r="F31" s="392"/>
      <c r="G31" s="395"/>
      <c r="H31" s="395"/>
      <c r="I31" s="395"/>
      <c r="J31" s="148">
        <v>0</v>
      </c>
      <c r="K31" s="395"/>
      <c r="L31" s="148">
        <v>255</v>
      </c>
      <c r="M31" s="395"/>
      <c r="N31" s="111">
        <v>2415</v>
      </c>
      <c r="O31" s="111">
        <v>0</v>
      </c>
      <c r="P31" s="111">
        <f t="shared" si="5"/>
        <v>2415</v>
      </c>
      <c r="Q31" s="111">
        <v>11409.07</v>
      </c>
      <c r="R31" s="111">
        <v>111</v>
      </c>
      <c r="S31" s="111">
        <v>0</v>
      </c>
      <c r="T31" s="111">
        <f t="shared" si="6"/>
        <v>111</v>
      </c>
      <c r="U31" s="111">
        <v>601.28</v>
      </c>
      <c r="V31" s="111">
        <v>1297</v>
      </c>
      <c r="W31" s="111">
        <v>0</v>
      </c>
      <c r="X31" s="111">
        <f t="shared" si="7"/>
        <v>1297</v>
      </c>
      <c r="Y31" s="111">
        <v>6295.36</v>
      </c>
      <c r="Z31" s="359"/>
      <c r="AA31" s="359"/>
      <c r="AB31" s="395"/>
    </row>
    <row r="32" spans="1:28" x14ac:dyDescent="0.2">
      <c r="A32" s="149" t="s">
        <v>6</v>
      </c>
      <c r="B32" s="392"/>
      <c r="C32" s="395"/>
      <c r="D32" s="395"/>
      <c r="E32" s="395"/>
      <c r="F32" s="392"/>
      <c r="G32" s="395"/>
      <c r="H32" s="395"/>
      <c r="I32" s="395"/>
      <c r="J32" s="148">
        <v>0</v>
      </c>
      <c r="K32" s="395"/>
      <c r="L32" s="148">
        <v>201.87</v>
      </c>
      <c r="M32" s="395"/>
      <c r="N32" s="111">
        <v>1500</v>
      </c>
      <c r="O32" s="111">
        <v>0</v>
      </c>
      <c r="P32" s="111">
        <f t="shared" si="5"/>
        <v>1500</v>
      </c>
      <c r="Q32" s="111">
        <v>7327.01</v>
      </c>
      <c r="R32" s="111">
        <v>98</v>
      </c>
      <c r="S32" s="111">
        <v>0</v>
      </c>
      <c r="T32" s="111">
        <f t="shared" si="6"/>
        <v>98</v>
      </c>
      <c r="U32" s="111">
        <v>543.28</v>
      </c>
      <c r="V32" s="111">
        <v>1254</v>
      </c>
      <c r="W32" s="111">
        <v>0</v>
      </c>
      <c r="X32" s="111">
        <f t="shared" si="7"/>
        <v>1254</v>
      </c>
      <c r="Y32" s="111">
        <v>6103.52</v>
      </c>
      <c r="Z32" s="359"/>
      <c r="AA32" s="359"/>
      <c r="AB32" s="395"/>
    </row>
    <row r="33" spans="1:28" x14ac:dyDescent="0.2">
      <c r="A33" s="149" t="s">
        <v>7</v>
      </c>
      <c r="B33" s="392"/>
      <c r="C33" s="395"/>
      <c r="D33" s="395"/>
      <c r="E33" s="395"/>
      <c r="F33" s="392"/>
      <c r="G33" s="395"/>
      <c r="H33" s="395"/>
      <c r="I33" s="395"/>
      <c r="J33" s="148">
        <v>0</v>
      </c>
      <c r="K33" s="395"/>
      <c r="L33" s="148">
        <v>170</v>
      </c>
      <c r="M33" s="395"/>
      <c r="N33" s="111">
        <v>1694</v>
      </c>
      <c r="O33" s="111">
        <v>0</v>
      </c>
      <c r="P33" s="111">
        <f t="shared" si="5"/>
        <v>1694</v>
      </c>
      <c r="Q33" s="111">
        <v>8192.49</v>
      </c>
      <c r="R33" s="111">
        <v>540</v>
      </c>
      <c r="S33" s="111">
        <v>0</v>
      </c>
      <c r="T33" s="111">
        <f t="shared" si="6"/>
        <v>540</v>
      </c>
      <c r="U33" s="111">
        <v>2621.2399999999998</v>
      </c>
      <c r="V33" s="111">
        <v>531</v>
      </c>
      <c r="W33" s="111">
        <v>0</v>
      </c>
      <c r="X33" s="111">
        <f t="shared" si="7"/>
        <v>531</v>
      </c>
      <c r="Y33" s="111">
        <v>2878.03</v>
      </c>
      <c r="Z33" s="359"/>
      <c r="AA33" s="359"/>
      <c r="AB33" s="395"/>
    </row>
    <row r="34" spans="1:28" x14ac:dyDescent="0.2">
      <c r="A34" s="149" t="s">
        <v>8</v>
      </c>
      <c r="B34" s="392"/>
      <c r="C34" s="395"/>
      <c r="D34" s="395"/>
      <c r="E34" s="395"/>
      <c r="F34" s="392"/>
      <c r="G34" s="395"/>
      <c r="H34" s="395"/>
      <c r="I34" s="395"/>
      <c r="J34" s="148">
        <v>0</v>
      </c>
      <c r="K34" s="395"/>
      <c r="L34" s="148">
        <v>340</v>
      </c>
      <c r="M34" s="395"/>
      <c r="N34" s="111">
        <v>3482</v>
      </c>
      <c r="O34" s="111">
        <v>0</v>
      </c>
      <c r="P34" s="111">
        <f t="shared" si="5"/>
        <v>3482</v>
      </c>
      <c r="Q34" s="111">
        <v>16169.26</v>
      </c>
      <c r="R34" s="111">
        <v>320</v>
      </c>
      <c r="S34" s="111">
        <v>0</v>
      </c>
      <c r="T34" s="111">
        <f t="shared" si="6"/>
        <v>320</v>
      </c>
      <c r="U34" s="111">
        <v>1533.69</v>
      </c>
      <c r="V34" s="111">
        <v>1552</v>
      </c>
      <c r="W34" s="111">
        <v>0</v>
      </c>
      <c r="X34" s="111">
        <f t="shared" si="7"/>
        <v>1552</v>
      </c>
      <c r="Y34" s="111">
        <v>7432.98</v>
      </c>
      <c r="Z34" s="359"/>
      <c r="AA34" s="359"/>
      <c r="AB34" s="395"/>
    </row>
    <row r="35" spans="1:28" x14ac:dyDescent="0.2">
      <c r="A35" s="149" t="s">
        <v>9</v>
      </c>
      <c r="B35" s="392"/>
      <c r="C35" s="395"/>
      <c r="D35" s="395"/>
      <c r="E35" s="395"/>
      <c r="F35" s="392"/>
      <c r="G35" s="395"/>
      <c r="H35" s="395"/>
      <c r="I35" s="395"/>
      <c r="J35" s="148">
        <v>0</v>
      </c>
      <c r="K35" s="395"/>
      <c r="L35" s="148">
        <v>913.75</v>
      </c>
      <c r="M35" s="395"/>
      <c r="N35" s="111">
        <v>2759</v>
      </c>
      <c r="O35" s="111">
        <v>0</v>
      </c>
      <c r="P35" s="111">
        <f t="shared" si="5"/>
        <v>2759</v>
      </c>
      <c r="Q35" s="111">
        <v>12943.76</v>
      </c>
      <c r="R35" s="201" t="s">
        <v>111</v>
      </c>
      <c r="S35" s="201" t="s">
        <v>111</v>
      </c>
      <c r="T35" s="201" t="e">
        <f t="shared" si="6"/>
        <v>#VALUE!</v>
      </c>
      <c r="U35" s="201" t="s">
        <v>111</v>
      </c>
      <c r="V35" s="111">
        <v>1082</v>
      </c>
      <c r="W35" s="111">
        <v>0</v>
      </c>
      <c r="X35" s="111">
        <f t="shared" si="7"/>
        <v>1082</v>
      </c>
      <c r="Y35" s="111">
        <v>5336.18</v>
      </c>
      <c r="Z35" s="359"/>
      <c r="AA35" s="359"/>
      <c r="AB35" s="395"/>
    </row>
    <row r="36" spans="1:28" x14ac:dyDescent="0.2">
      <c r="A36" s="149" t="s">
        <v>10</v>
      </c>
      <c r="B36" s="392"/>
      <c r="C36" s="395"/>
      <c r="D36" s="395"/>
      <c r="E36" s="395"/>
      <c r="F36" s="392"/>
      <c r="G36" s="395"/>
      <c r="H36" s="395"/>
      <c r="I36" s="395"/>
      <c r="J36" s="148">
        <v>0</v>
      </c>
      <c r="K36" s="395"/>
      <c r="L36" s="148">
        <v>1593.75</v>
      </c>
      <c r="M36" s="395"/>
      <c r="N36" s="111">
        <v>3749</v>
      </c>
      <c r="O36" s="111">
        <v>0</v>
      </c>
      <c r="P36" s="111">
        <f t="shared" si="5"/>
        <v>3749</v>
      </c>
      <c r="Q36" s="111">
        <v>17360.419999999998</v>
      </c>
      <c r="R36" s="111">
        <v>358</v>
      </c>
      <c r="S36" s="111">
        <v>0</v>
      </c>
      <c r="T36" s="111">
        <f t="shared" si="6"/>
        <v>358</v>
      </c>
      <c r="U36" s="111">
        <v>1703.21</v>
      </c>
      <c r="V36" s="111">
        <v>1133</v>
      </c>
      <c r="W36" s="111">
        <v>0</v>
      </c>
      <c r="X36" s="111">
        <f t="shared" si="7"/>
        <v>1133</v>
      </c>
      <c r="Y36" s="111">
        <v>5563.72</v>
      </c>
      <c r="Z36" s="359"/>
      <c r="AA36" s="359"/>
      <c r="AB36" s="395"/>
    </row>
    <row r="37" spans="1:28" x14ac:dyDescent="0.2">
      <c r="A37" s="149" t="s">
        <v>11</v>
      </c>
      <c r="B37" s="393"/>
      <c r="C37" s="396"/>
      <c r="D37" s="396"/>
      <c r="E37" s="396"/>
      <c r="F37" s="393"/>
      <c r="G37" s="396"/>
      <c r="H37" s="396"/>
      <c r="I37" s="396"/>
      <c r="J37" s="148">
        <v>0</v>
      </c>
      <c r="K37" s="396"/>
      <c r="L37" s="148">
        <v>2071.87</v>
      </c>
      <c r="M37" s="396"/>
      <c r="N37" s="111">
        <v>4690</v>
      </c>
      <c r="O37" s="111">
        <v>0</v>
      </c>
      <c r="P37" s="111">
        <f t="shared" si="5"/>
        <v>4690</v>
      </c>
      <c r="Q37" s="111">
        <v>21558.48</v>
      </c>
      <c r="R37" s="111">
        <v>334</v>
      </c>
      <c r="S37" s="111">
        <v>0</v>
      </c>
      <c r="T37" s="111">
        <f t="shared" si="6"/>
        <v>334</v>
      </c>
      <c r="U37" s="111">
        <v>1596.14</v>
      </c>
      <c r="V37" s="111">
        <v>1285</v>
      </c>
      <c r="W37" s="111">
        <v>0</v>
      </c>
      <c r="X37" s="111">
        <f t="shared" si="7"/>
        <v>1285</v>
      </c>
      <c r="Y37" s="111">
        <v>6241.83</v>
      </c>
      <c r="Z37" s="360"/>
      <c r="AA37" s="360"/>
      <c r="AB37" s="396"/>
    </row>
    <row r="38" spans="1:28" x14ac:dyDescent="0.2">
      <c r="A38" s="104" t="s">
        <v>20</v>
      </c>
      <c r="B38" s="112">
        <f t="shared" ref="B38:J38" si="8">SUM(B26:B37)</f>
        <v>1225</v>
      </c>
      <c r="C38" s="103">
        <f t="shared" si="8"/>
        <v>689785.25</v>
      </c>
      <c r="D38" s="103">
        <f t="shared" si="8"/>
        <v>150.5</v>
      </c>
      <c r="E38" s="103">
        <f t="shared" si="8"/>
        <v>77466.87</v>
      </c>
      <c r="F38" s="112">
        <f t="shared" si="8"/>
        <v>226</v>
      </c>
      <c r="G38" s="103">
        <f t="shared" si="8"/>
        <v>77466.87</v>
      </c>
      <c r="H38" s="103">
        <f t="shared" si="8"/>
        <v>150.5</v>
      </c>
      <c r="I38" s="103">
        <f t="shared" si="8"/>
        <v>127258.34</v>
      </c>
      <c r="J38" s="103">
        <f t="shared" si="8"/>
        <v>0</v>
      </c>
      <c r="K38" s="103">
        <f>SUM(K26)</f>
        <v>811.8</v>
      </c>
      <c r="L38" s="103">
        <f>SUM(L26:L37)</f>
        <v>13111.36</v>
      </c>
      <c r="M38" s="103">
        <v>12076.91</v>
      </c>
      <c r="N38" s="103">
        <f>SUM(N26:N37)</f>
        <v>41530</v>
      </c>
      <c r="O38" s="103">
        <f>SUM(O26:O37)</f>
        <v>0</v>
      </c>
      <c r="P38" s="111">
        <f t="shared" si="5"/>
        <v>41530</v>
      </c>
      <c r="Q38" s="103">
        <f>SUM(Q26:Q37)</f>
        <v>192897.53000000006</v>
      </c>
      <c r="R38" s="103"/>
      <c r="S38" s="103"/>
      <c r="T38" s="111">
        <f t="shared" si="6"/>
        <v>0</v>
      </c>
      <c r="U38" s="103"/>
      <c r="V38" s="103"/>
      <c r="W38" s="103"/>
      <c r="X38" s="111">
        <f t="shared" si="7"/>
        <v>0</v>
      </c>
      <c r="Y38" s="103"/>
      <c r="Z38" s="103">
        <f>SUM(Z26:Z37)</f>
        <v>601</v>
      </c>
      <c r="AA38" s="103"/>
      <c r="AB38" s="103" t="e">
        <f>SUM(AB26:AB37)</f>
        <v>#VALUE!</v>
      </c>
    </row>
    <row r="44" spans="1:28" x14ac:dyDescent="0.2">
      <c r="A44" s="371"/>
      <c r="B44" s="370"/>
      <c r="C44" s="370"/>
      <c r="D44" s="370"/>
      <c r="E44" s="370"/>
      <c r="F44" s="370"/>
      <c r="G44" s="370"/>
      <c r="H44" s="370"/>
      <c r="I44" s="370"/>
      <c r="J44" s="354"/>
      <c r="K44" s="350"/>
      <c r="L44" s="354"/>
      <c r="M44" s="350"/>
      <c r="N44" s="373"/>
      <c r="O44" s="373"/>
      <c r="P44" s="373"/>
      <c r="Q44" s="373"/>
      <c r="R44" s="373"/>
      <c r="S44" s="373"/>
      <c r="T44" s="373"/>
      <c r="U44" s="373"/>
      <c r="V44" s="373"/>
      <c r="W44" s="373"/>
      <c r="X44" s="373"/>
      <c r="Y44" s="373"/>
      <c r="Z44" s="361"/>
      <c r="AA44" s="361"/>
      <c r="AB44" s="361"/>
    </row>
    <row r="45" spans="1:28" x14ac:dyDescent="0.2">
      <c r="A45" s="371"/>
      <c r="B45" s="151"/>
      <c r="C45" s="151"/>
      <c r="D45" s="151"/>
      <c r="E45" s="151"/>
      <c r="F45" s="151"/>
      <c r="G45" s="151"/>
      <c r="H45" s="151"/>
      <c r="I45" s="151"/>
      <c r="J45" s="155"/>
      <c r="K45" s="155"/>
      <c r="L45" s="155"/>
      <c r="M45" s="155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3"/>
      <c r="AA45" s="153"/>
      <c r="AB45" s="153"/>
    </row>
    <row r="46" spans="1:28" x14ac:dyDescent="0.2">
      <c r="A46" s="149"/>
      <c r="B46" s="105"/>
      <c r="C46" s="106"/>
      <c r="D46" s="105"/>
      <c r="E46" s="105"/>
      <c r="F46" s="105"/>
      <c r="G46" s="106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</row>
    <row r="47" spans="1:28" x14ac:dyDescent="0.2">
      <c r="A47" s="149"/>
      <c r="B47" s="105"/>
      <c r="C47" s="106"/>
      <c r="D47" s="105"/>
      <c r="E47" s="105"/>
      <c r="F47" s="105"/>
      <c r="G47" s="106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</row>
    <row r="48" spans="1:28" x14ac:dyDescent="0.2">
      <c r="A48" s="149"/>
      <c r="B48" s="105"/>
      <c r="C48" s="106"/>
      <c r="D48" s="105"/>
      <c r="E48" s="105"/>
      <c r="F48" s="105"/>
      <c r="G48" s="106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</row>
    <row r="49" spans="1:28" x14ac:dyDescent="0.2">
      <c r="A49" s="149"/>
      <c r="B49" s="105"/>
      <c r="C49" s="106"/>
      <c r="D49" s="105"/>
      <c r="E49" s="105"/>
      <c r="F49" s="105"/>
      <c r="G49" s="106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</row>
    <row r="50" spans="1:28" x14ac:dyDescent="0.2">
      <c r="A50" s="149"/>
      <c r="B50" s="105"/>
      <c r="C50" s="106"/>
      <c r="D50" s="105"/>
      <c r="E50" s="105"/>
      <c r="F50" s="105"/>
      <c r="G50" s="106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</row>
    <row r="51" spans="1:28" x14ac:dyDescent="0.2">
      <c r="A51" s="149"/>
      <c r="B51" s="105"/>
      <c r="C51" s="106"/>
      <c r="D51" s="105"/>
      <c r="E51" s="105"/>
      <c r="F51" s="105"/>
      <c r="G51" s="106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</row>
    <row r="52" spans="1:28" x14ac:dyDescent="0.2">
      <c r="A52" s="149"/>
      <c r="B52" s="105"/>
      <c r="C52" s="106"/>
      <c r="D52" s="105"/>
      <c r="E52" s="105"/>
      <c r="F52" s="105"/>
      <c r="G52" s="106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</row>
    <row r="53" spans="1:28" x14ac:dyDescent="0.2">
      <c r="A53" s="149"/>
      <c r="B53" s="105"/>
      <c r="C53" s="106"/>
      <c r="D53" s="105"/>
      <c r="E53" s="105"/>
      <c r="F53" s="105"/>
      <c r="G53" s="106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</row>
    <row r="54" spans="1:28" x14ac:dyDescent="0.2">
      <c r="A54" s="149"/>
      <c r="B54" s="105"/>
      <c r="C54" s="106"/>
      <c r="D54" s="105"/>
      <c r="E54" s="105"/>
      <c r="F54" s="105"/>
      <c r="G54" s="106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</row>
    <row r="55" spans="1:28" x14ac:dyDescent="0.2">
      <c r="A55" s="149"/>
      <c r="B55" s="105"/>
      <c r="C55" s="106"/>
      <c r="D55" s="105"/>
      <c r="E55" s="105"/>
      <c r="F55" s="105"/>
      <c r="G55" s="106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</row>
    <row r="56" spans="1:28" x14ac:dyDescent="0.2">
      <c r="A56" s="149"/>
      <c r="B56" s="105"/>
      <c r="C56" s="106"/>
      <c r="D56" s="105"/>
      <c r="E56" s="105"/>
      <c r="F56" s="105"/>
      <c r="G56" s="106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</row>
    <row r="57" spans="1:28" x14ac:dyDescent="0.2">
      <c r="A57" s="149"/>
      <c r="B57" s="105"/>
      <c r="C57" s="106"/>
      <c r="D57" s="105"/>
      <c r="E57" s="105"/>
      <c r="F57" s="105"/>
      <c r="G57" s="106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</row>
    <row r="58" spans="1:28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</row>
  </sheetData>
  <mergeCells count="84">
    <mergeCell ref="L2:M2"/>
    <mergeCell ref="Z2:AB2"/>
    <mergeCell ref="F3:G3"/>
    <mergeCell ref="H3:I3"/>
    <mergeCell ref="L3:M3"/>
    <mergeCell ref="V3:Y3"/>
    <mergeCell ref="J2:K2"/>
    <mergeCell ref="J3:K3"/>
    <mergeCell ref="Z3:AB3"/>
    <mergeCell ref="V2:Y2"/>
    <mergeCell ref="N2:Q2"/>
    <mergeCell ref="N3:Q3"/>
    <mergeCell ref="R2:U2"/>
    <mergeCell ref="R3:U3"/>
    <mergeCell ref="F2:I2"/>
    <mergeCell ref="B2:E2"/>
    <mergeCell ref="B3:C3"/>
    <mergeCell ref="D3:E3"/>
    <mergeCell ref="A2:A4"/>
    <mergeCell ref="D5:D16"/>
    <mergeCell ref="E5:E16"/>
    <mergeCell ref="C5:C16"/>
    <mergeCell ref="B5:B16"/>
    <mergeCell ref="A44:A45"/>
    <mergeCell ref="F44:G44"/>
    <mergeCell ref="H44:I44"/>
    <mergeCell ref="B23:E23"/>
    <mergeCell ref="B24:C24"/>
    <mergeCell ref="D24:E24"/>
    <mergeCell ref="A23:A25"/>
    <mergeCell ref="L44:M44"/>
    <mergeCell ref="V44:Y44"/>
    <mergeCell ref="J44:K44"/>
    <mergeCell ref="N44:Q44"/>
    <mergeCell ref="B44:C44"/>
    <mergeCell ref="D44:E44"/>
    <mergeCell ref="R26:R28"/>
    <mergeCell ref="S26:S28"/>
    <mergeCell ref="T26:T28"/>
    <mergeCell ref="B26:B37"/>
    <mergeCell ref="C26:C37"/>
    <mergeCell ref="D26:D37"/>
    <mergeCell ref="M26:M37"/>
    <mergeCell ref="H26:H37"/>
    <mergeCell ref="I26:I37"/>
    <mergeCell ref="E26:E37"/>
    <mergeCell ref="F26:F37"/>
    <mergeCell ref="G26:G37"/>
    <mergeCell ref="K26:K37"/>
    <mergeCell ref="AA5:AA16"/>
    <mergeCell ref="Z23:AB23"/>
    <mergeCell ref="V23:Y23"/>
    <mergeCell ref="AB5:AB16"/>
    <mergeCell ref="R44:U44"/>
    <mergeCell ref="U26:U28"/>
    <mergeCell ref="V24:Y24"/>
    <mergeCell ref="Z24:AB24"/>
    <mergeCell ref="Z44:AB44"/>
    <mergeCell ref="R23:U23"/>
    <mergeCell ref="R24:U24"/>
    <mergeCell ref="AA30:AA37"/>
    <mergeCell ref="AB30:AB37"/>
    <mergeCell ref="Z26:Z29"/>
    <mergeCell ref="AA26:AA29"/>
    <mergeCell ref="AB26:AB29"/>
    <mergeCell ref="Z30:Z37"/>
    <mergeCell ref="V26:V29"/>
    <mergeCell ref="W26:W29"/>
    <mergeCell ref="X26:X29"/>
    <mergeCell ref="Y26:Y29"/>
    <mergeCell ref="Z5:Z16"/>
    <mergeCell ref="N23:Q23"/>
    <mergeCell ref="N24:Q24"/>
    <mergeCell ref="F23:I23"/>
    <mergeCell ref="F24:G24"/>
    <mergeCell ref="H24:I24"/>
    <mergeCell ref="L24:M24"/>
    <mergeCell ref="F5:F16"/>
    <mergeCell ref="L23:M23"/>
    <mergeCell ref="J23:K23"/>
    <mergeCell ref="J24:K24"/>
    <mergeCell ref="G5:G16"/>
    <mergeCell ref="H5:H16"/>
    <mergeCell ref="I5:I16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9AB1B-2C45-42EC-A436-669420DE1A34}">
  <dimension ref="A1:Q58"/>
  <sheetViews>
    <sheetView topLeftCell="A25" workbookViewId="0">
      <selection activeCell="A44" sqref="A44:O61"/>
    </sheetView>
  </sheetViews>
  <sheetFormatPr defaultRowHeight="12.75" x14ac:dyDescent="0.2"/>
  <cols>
    <col min="1" max="1" width="12.7109375" style="161" customWidth="1"/>
    <col min="2" max="15" width="11.7109375" style="161" customWidth="1"/>
    <col min="16" max="16384" width="9.140625" style="161"/>
  </cols>
  <sheetData>
    <row r="1" spans="1:17" ht="15" x14ac:dyDescent="0.2">
      <c r="A1" s="165" t="s">
        <v>215</v>
      </c>
      <c r="B1" s="163"/>
      <c r="C1" s="163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73" t="s">
        <v>33</v>
      </c>
    </row>
    <row r="2" spans="1:17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49" t="s">
        <v>125</v>
      </c>
      <c r="I2" s="350"/>
      <c r="J2" s="351" t="s">
        <v>124</v>
      </c>
      <c r="K2" s="352"/>
      <c r="L2" s="352"/>
      <c r="M2" s="353"/>
      <c r="N2" s="362" t="s">
        <v>123</v>
      </c>
      <c r="O2" s="362"/>
      <c r="P2" s="409"/>
      <c r="Q2" s="409"/>
    </row>
    <row r="3" spans="1:17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29</v>
      </c>
      <c r="I3" s="350"/>
      <c r="J3" s="355" t="s">
        <v>14</v>
      </c>
      <c r="K3" s="356"/>
      <c r="L3" s="356"/>
      <c r="M3" s="357"/>
      <c r="N3" s="361" t="s">
        <v>62</v>
      </c>
      <c r="O3" s="361"/>
      <c r="P3" s="410"/>
      <c r="Q3" s="410"/>
    </row>
    <row r="4" spans="1:17" ht="14.25" customHeight="1" x14ac:dyDescent="0.2">
      <c r="A4" s="368"/>
      <c r="B4" s="159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5" t="s">
        <v>18</v>
      </c>
      <c r="I4" s="155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  <c r="P4" s="127"/>
      <c r="Q4" s="127"/>
    </row>
    <row r="5" spans="1:17" x14ac:dyDescent="0.2">
      <c r="A5" s="149" t="s">
        <v>0</v>
      </c>
      <c r="B5" s="158"/>
      <c r="C5" s="148"/>
      <c r="D5" s="169"/>
      <c r="E5" s="154"/>
      <c r="F5" s="148"/>
      <c r="G5" s="148"/>
      <c r="H5" s="259">
        <v>17226</v>
      </c>
      <c r="I5" s="259">
        <v>11434.73</v>
      </c>
      <c r="J5" s="411">
        <v>1114</v>
      </c>
      <c r="K5" s="411">
        <v>298</v>
      </c>
      <c r="L5" s="411">
        <v>1412</v>
      </c>
      <c r="M5" s="411">
        <v>6734.71</v>
      </c>
      <c r="N5" s="406">
        <v>80</v>
      </c>
      <c r="O5" s="406">
        <v>2896</v>
      </c>
      <c r="P5" s="204"/>
      <c r="Q5" s="203"/>
    </row>
    <row r="6" spans="1:17" x14ac:dyDescent="0.2">
      <c r="A6" s="149" t="s">
        <v>1</v>
      </c>
      <c r="B6" s="158"/>
      <c r="C6" s="148"/>
      <c r="D6" s="170"/>
      <c r="E6" s="154"/>
      <c r="F6" s="148"/>
      <c r="G6" s="148"/>
      <c r="H6" s="406">
        <v>79559</v>
      </c>
      <c r="I6" s="406">
        <v>58453.63</v>
      </c>
      <c r="J6" s="412"/>
      <c r="K6" s="412"/>
      <c r="L6" s="412"/>
      <c r="M6" s="412"/>
      <c r="N6" s="407"/>
      <c r="O6" s="407"/>
      <c r="P6" s="204"/>
      <c r="Q6" s="203"/>
    </row>
    <row r="7" spans="1:17" x14ac:dyDescent="0.2">
      <c r="A7" s="149" t="s">
        <v>2</v>
      </c>
      <c r="B7" s="158"/>
      <c r="C7" s="148"/>
      <c r="D7" s="170"/>
      <c r="E7" s="154"/>
      <c r="F7" s="148"/>
      <c r="G7" s="148"/>
      <c r="H7" s="407"/>
      <c r="I7" s="407"/>
      <c r="J7" s="413"/>
      <c r="K7" s="413"/>
      <c r="L7" s="413"/>
      <c r="M7" s="413"/>
      <c r="N7" s="407"/>
      <c r="O7" s="407"/>
      <c r="P7" s="204"/>
      <c r="Q7" s="203"/>
    </row>
    <row r="8" spans="1:17" x14ac:dyDescent="0.2">
      <c r="A8" s="149" t="s">
        <v>3</v>
      </c>
      <c r="B8" s="158"/>
      <c r="C8" s="148"/>
      <c r="D8" s="170"/>
      <c r="E8" s="154"/>
      <c r="F8" s="148"/>
      <c r="G8" s="148"/>
      <c r="H8" s="407"/>
      <c r="I8" s="407"/>
      <c r="J8" s="411">
        <v>2409</v>
      </c>
      <c r="K8" s="411">
        <v>620</v>
      </c>
      <c r="L8" s="411">
        <v>3029</v>
      </c>
      <c r="M8" s="411">
        <v>15785.73</v>
      </c>
      <c r="N8" s="407"/>
      <c r="O8" s="407"/>
      <c r="P8" s="204"/>
      <c r="Q8" s="203"/>
    </row>
    <row r="9" spans="1:17" x14ac:dyDescent="0.2">
      <c r="A9" s="149" t="s">
        <v>4</v>
      </c>
      <c r="B9" s="158"/>
      <c r="C9" s="148"/>
      <c r="D9" s="170"/>
      <c r="E9" s="154"/>
      <c r="F9" s="148"/>
      <c r="G9" s="148"/>
      <c r="H9" s="407"/>
      <c r="I9" s="407"/>
      <c r="J9" s="412"/>
      <c r="K9" s="412"/>
      <c r="L9" s="412"/>
      <c r="M9" s="412"/>
      <c r="N9" s="407"/>
      <c r="O9" s="407"/>
      <c r="P9" s="204"/>
      <c r="Q9" s="203"/>
    </row>
    <row r="10" spans="1:17" x14ac:dyDescent="0.2">
      <c r="A10" s="149" t="s">
        <v>5</v>
      </c>
      <c r="B10" s="158"/>
      <c r="C10" s="148"/>
      <c r="D10" s="170"/>
      <c r="E10" s="154"/>
      <c r="F10" s="148"/>
      <c r="G10" s="148"/>
      <c r="H10" s="407"/>
      <c r="I10" s="407"/>
      <c r="J10" s="412"/>
      <c r="K10" s="412"/>
      <c r="L10" s="412"/>
      <c r="M10" s="412"/>
      <c r="N10" s="407"/>
      <c r="O10" s="407"/>
      <c r="P10" s="204"/>
      <c r="Q10" s="203"/>
    </row>
    <row r="11" spans="1:17" x14ac:dyDescent="0.2">
      <c r="A11" s="149" t="s">
        <v>6</v>
      </c>
      <c r="B11" s="158"/>
      <c r="C11" s="148"/>
      <c r="D11" s="170"/>
      <c r="E11" s="154"/>
      <c r="F11" s="148"/>
      <c r="G11" s="148"/>
      <c r="H11" s="407"/>
      <c r="I11" s="407"/>
      <c r="J11" s="412"/>
      <c r="K11" s="412"/>
      <c r="L11" s="412"/>
      <c r="M11" s="412"/>
      <c r="N11" s="407"/>
      <c r="O11" s="407"/>
      <c r="P11" s="204"/>
      <c r="Q11" s="203"/>
    </row>
    <row r="12" spans="1:17" x14ac:dyDescent="0.2">
      <c r="A12" s="149" t="s">
        <v>7</v>
      </c>
      <c r="B12" s="158"/>
      <c r="C12" s="148"/>
      <c r="D12" s="170"/>
      <c r="E12" s="154"/>
      <c r="F12" s="148"/>
      <c r="G12" s="148"/>
      <c r="H12" s="407"/>
      <c r="I12" s="407"/>
      <c r="J12" s="412"/>
      <c r="K12" s="412"/>
      <c r="L12" s="412"/>
      <c r="M12" s="412"/>
      <c r="N12" s="407"/>
      <c r="O12" s="407"/>
      <c r="P12" s="204"/>
      <c r="Q12" s="203"/>
    </row>
    <row r="13" spans="1:17" x14ac:dyDescent="0.2">
      <c r="A13" s="149" t="s">
        <v>8</v>
      </c>
      <c r="B13" s="158"/>
      <c r="C13" s="148"/>
      <c r="D13" s="170"/>
      <c r="E13" s="154"/>
      <c r="F13" s="148"/>
      <c r="G13" s="148"/>
      <c r="H13" s="407"/>
      <c r="I13" s="407"/>
      <c r="J13" s="412"/>
      <c r="K13" s="412"/>
      <c r="L13" s="412"/>
      <c r="M13" s="412"/>
      <c r="N13" s="407"/>
      <c r="O13" s="407"/>
      <c r="P13" s="204"/>
      <c r="Q13" s="203"/>
    </row>
    <row r="14" spans="1:17" x14ac:dyDescent="0.2">
      <c r="A14" s="149" t="s">
        <v>9</v>
      </c>
      <c r="B14" s="158"/>
      <c r="C14" s="148"/>
      <c r="D14" s="170"/>
      <c r="E14" s="154"/>
      <c r="F14" s="148"/>
      <c r="G14" s="148"/>
      <c r="H14" s="407"/>
      <c r="I14" s="407"/>
      <c r="J14" s="412"/>
      <c r="K14" s="412"/>
      <c r="L14" s="412"/>
      <c r="M14" s="412"/>
      <c r="N14" s="407"/>
      <c r="O14" s="407"/>
      <c r="P14" s="204"/>
      <c r="Q14" s="203"/>
    </row>
    <row r="15" spans="1:17" x14ac:dyDescent="0.2">
      <c r="A15" s="149" t="s">
        <v>10</v>
      </c>
      <c r="B15" s="158"/>
      <c r="C15" s="148"/>
      <c r="D15" s="170"/>
      <c r="E15" s="154"/>
      <c r="F15" s="148"/>
      <c r="G15" s="148"/>
      <c r="H15" s="407"/>
      <c r="I15" s="407"/>
      <c r="J15" s="412"/>
      <c r="K15" s="412"/>
      <c r="L15" s="412"/>
      <c r="M15" s="412"/>
      <c r="N15" s="407"/>
      <c r="O15" s="407"/>
      <c r="P15" s="204"/>
      <c r="Q15" s="203"/>
    </row>
    <row r="16" spans="1:17" x14ac:dyDescent="0.2">
      <c r="A16" s="149" t="s">
        <v>11</v>
      </c>
      <c r="B16" s="158"/>
      <c r="C16" s="148"/>
      <c r="D16" s="170"/>
      <c r="E16" s="154"/>
      <c r="F16" s="148"/>
      <c r="G16" s="148"/>
      <c r="H16" s="408"/>
      <c r="I16" s="408"/>
      <c r="J16" s="413"/>
      <c r="K16" s="413"/>
      <c r="L16" s="413"/>
      <c r="M16" s="413"/>
      <c r="N16" s="408"/>
      <c r="O16" s="408"/>
      <c r="P16" s="204"/>
      <c r="Q16" s="203"/>
    </row>
    <row r="17" spans="1:17" x14ac:dyDescent="0.2">
      <c r="A17" s="104" t="s">
        <v>20</v>
      </c>
      <c r="B17" s="112">
        <v>0</v>
      </c>
      <c r="C17" s="103">
        <v>0</v>
      </c>
      <c r="D17" s="112">
        <v>0</v>
      </c>
      <c r="E17" s="103">
        <v>0</v>
      </c>
      <c r="F17" s="103">
        <v>0</v>
      </c>
      <c r="G17" s="103">
        <v>0</v>
      </c>
      <c r="H17" s="258">
        <v>96785</v>
      </c>
      <c r="I17" s="258">
        <v>69888.36</v>
      </c>
      <c r="J17" s="258">
        <v>3523</v>
      </c>
      <c r="K17" s="258">
        <v>918</v>
      </c>
      <c r="L17" s="258">
        <v>4441</v>
      </c>
      <c r="M17" s="258">
        <v>22520.44</v>
      </c>
      <c r="N17" s="258">
        <v>80</v>
      </c>
      <c r="O17" s="258">
        <v>2896</v>
      </c>
      <c r="P17" s="202"/>
      <c r="Q17" s="202"/>
    </row>
    <row r="18" spans="1:17" x14ac:dyDescent="0.2">
      <c r="A18" s="162"/>
      <c r="B18" s="162" t="s">
        <v>83</v>
      </c>
      <c r="C18" s="162"/>
      <c r="D18" s="162"/>
      <c r="E18" s="166"/>
      <c r="F18" s="171"/>
      <c r="G18" s="172"/>
      <c r="H18" s="162" t="s">
        <v>67</v>
      </c>
      <c r="I18" s="120"/>
      <c r="J18" s="162" t="s">
        <v>67</v>
      </c>
      <c r="L18" s="167"/>
      <c r="M18" s="168"/>
      <c r="N18" s="162" t="s">
        <v>67</v>
      </c>
      <c r="O18" s="168"/>
      <c r="P18" s="138"/>
    </row>
    <row r="19" spans="1:17" x14ac:dyDescent="0.2">
      <c r="A19" s="162"/>
      <c r="B19" s="162"/>
      <c r="C19" s="162"/>
      <c r="D19" s="162"/>
      <c r="E19" s="162"/>
      <c r="F19" s="162"/>
      <c r="G19" s="162"/>
      <c r="H19" s="138" t="s">
        <v>122</v>
      </c>
      <c r="I19" s="162"/>
      <c r="J19" s="138" t="s">
        <v>104</v>
      </c>
      <c r="L19" s="162"/>
      <c r="M19" s="162"/>
      <c r="N19" s="138" t="s">
        <v>65</v>
      </c>
      <c r="O19" s="162"/>
    </row>
    <row r="20" spans="1:17" x14ac:dyDescent="0.2">
      <c r="H20" s="138" t="s">
        <v>121</v>
      </c>
      <c r="I20" s="131"/>
      <c r="J20" s="138" t="s">
        <v>120</v>
      </c>
    </row>
    <row r="21" spans="1:17" x14ac:dyDescent="0.2">
      <c r="I21" s="131"/>
    </row>
    <row r="22" spans="1:17" x14ac:dyDescent="0.2">
      <c r="A22" s="174" t="s">
        <v>100</v>
      </c>
      <c r="B22" s="175"/>
      <c r="H22" s="138"/>
    </row>
    <row r="23" spans="1:17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355"/>
      <c r="K23" s="356"/>
      <c r="L23" s="356"/>
      <c r="M23" s="357"/>
      <c r="N23" s="361"/>
      <c r="O23" s="361"/>
    </row>
    <row r="24" spans="1:17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15</v>
      </c>
      <c r="O24" s="361"/>
    </row>
    <row r="25" spans="1:17" ht="14.25" x14ac:dyDescent="0.2">
      <c r="A25" s="368"/>
      <c r="B25" s="159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5" t="s">
        <v>18</v>
      </c>
      <c r="I25" s="155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24</v>
      </c>
    </row>
    <row r="26" spans="1:17" x14ac:dyDescent="0.2">
      <c r="A26" s="149" t="s">
        <v>0</v>
      </c>
      <c r="B26" s="158"/>
      <c r="C26" s="148"/>
      <c r="D26" s="169"/>
      <c r="E26" s="154"/>
      <c r="F26" s="148"/>
      <c r="G26" s="148"/>
      <c r="H26" s="148"/>
      <c r="I26" s="148"/>
      <c r="J26" s="111"/>
      <c r="K26" s="111"/>
      <c r="L26" s="111"/>
      <c r="M26" s="111"/>
      <c r="N26" s="114"/>
      <c r="O26" s="154"/>
    </row>
    <row r="27" spans="1:17" x14ac:dyDescent="0.2">
      <c r="A27" s="149" t="s">
        <v>1</v>
      </c>
      <c r="B27" s="158"/>
      <c r="C27" s="148"/>
      <c r="D27" s="170"/>
      <c r="E27" s="154"/>
      <c r="F27" s="148"/>
      <c r="G27" s="148"/>
      <c r="H27" s="148"/>
      <c r="I27" s="148"/>
      <c r="J27" s="111"/>
      <c r="K27" s="111"/>
      <c r="L27" s="111"/>
      <c r="M27" s="111"/>
      <c r="N27" s="114"/>
      <c r="O27" s="154"/>
    </row>
    <row r="28" spans="1:17" x14ac:dyDescent="0.2">
      <c r="A28" s="149" t="s">
        <v>2</v>
      </c>
      <c r="B28" s="158"/>
      <c r="C28" s="148"/>
      <c r="D28" s="170"/>
      <c r="E28" s="154"/>
      <c r="F28" s="148"/>
      <c r="G28" s="148"/>
      <c r="H28" s="148"/>
      <c r="I28" s="148"/>
      <c r="J28" s="111"/>
      <c r="K28" s="111"/>
      <c r="L28" s="111"/>
      <c r="M28" s="111"/>
      <c r="N28" s="114"/>
      <c r="O28" s="154"/>
    </row>
    <row r="29" spans="1:17" x14ac:dyDescent="0.2">
      <c r="A29" s="149" t="s">
        <v>3</v>
      </c>
      <c r="B29" s="158"/>
      <c r="C29" s="148"/>
      <c r="D29" s="170"/>
      <c r="E29" s="154"/>
      <c r="F29" s="148"/>
      <c r="G29" s="148"/>
      <c r="H29" s="148"/>
      <c r="I29" s="148"/>
      <c r="J29" s="111"/>
      <c r="K29" s="111"/>
      <c r="L29" s="111"/>
      <c r="M29" s="111"/>
      <c r="N29" s="114"/>
      <c r="O29" s="154"/>
    </row>
    <row r="30" spans="1:17" x14ac:dyDescent="0.2">
      <c r="A30" s="149" t="s">
        <v>4</v>
      </c>
      <c r="B30" s="158"/>
      <c r="C30" s="148"/>
      <c r="D30" s="170"/>
      <c r="E30" s="154"/>
      <c r="F30" s="148"/>
      <c r="G30" s="148"/>
      <c r="H30" s="148"/>
      <c r="I30" s="148"/>
      <c r="J30" s="111"/>
      <c r="K30" s="111"/>
      <c r="L30" s="111"/>
      <c r="M30" s="111"/>
      <c r="N30" s="114"/>
      <c r="O30" s="154"/>
    </row>
    <row r="31" spans="1:17" x14ac:dyDescent="0.2">
      <c r="A31" s="149" t="s">
        <v>5</v>
      </c>
      <c r="B31" s="158"/>
      <c r="C31" s="148"/>
      <c r="D31" s="170"/>
      <c r="E31" s="154"/>
      <c r="F31" s="148"/>
      <c r="G31" s="148"/>
      <c r="H31" s="148"/>
      <c r="I31" s="148"/>
      <c r="J31" s="111"/>
      <c r="K31" s="111"/>
      <c r="L31" s="111"/>
      <c r="M31" s="111"/>
      <c r="N31" s="114"/>
      <c r="O31" s="154"/>
    </row>
    <row r="32" spans="1:17" x14ac:dyDescent="0.2">
      <c r="A32" s="149" t="s">
        <v>6</v>
      </c>
      <c r="B32" s="158"/>
      <c r="C32" s="148"/>
      <c r="D32" s="170"/>
      <c r="E32" s="154"/>
      <c r="F32" s="148"/>
      <c r="G32" s="148"/>
      <c r="H32" s="148"/>
      <c r="I32" s="148"/>
      <c r="J32" s="111"/>
      <c r="K32" s="111"/>
      <c r="L32" s="111"/>
      <c r="M32" s="111"/>
      <c r="N32" s="114"/>
      <c r="O32" s="154"/>
    </row>
    <row r="33" spans="1:15" x14ac:dyDescent="0.2">
      <c r="A33" s="149" t="s">
        <v>7</v>
      </c>
      <c r="B33" s="158"/>
      <c r="C33" s="148"/>
      <c r="D33" s="170"/>
      <c r="E33" s="154"/>
      <c r="F33" s="148"/>
      <c r="G33" s="148"/>
      <c r="H33" s="148"/>
      <c r="I33" s="148"/>
      <c r="J33" s="111"/>
      <c r="K33" s="111"/>
      <c r="L33" s="111"/>
      <c r="M33" s="111"/>
      <c r="N33" s="114"/>
      <c r="O33" s="154"/>
    </row>
    <row r="34" spans="1:15" x14ac:dyDescent="0.2">
      <c r="A34" s="149" t="s">
        <v>8</v>
      </c>
      <c r="B34" s="158"/>
      <c r="C34" s="148"/>
      <c r="D34" s="170"/>
      <c r="E34" s="154"/>
      <c r="F34" s="148"/>
      <c r="G34" s="148"/>
      <c r="H34" s="148"/>
      <c r="I34" s="148"/>
      <c r="J34" s="111"/>
      <c r="K34" s="111"/>
      <c r="L34" s="111"/>
      <c r="M34" s="111"/>
      <c r="N34" s="114"/>
      <c r="O34" s="154"/>
    </row>
    <row r="35" spans="1:15" x14ac:dyDescent="0.2">
      <c r="A35" s="149" t="s">
        <v>9</v>
      </c>
      <c r="B35" s="158"/>
      <c r="C35" s="148"/>
      <c r="D35" s="170"/>
      <c r="E35" s="154"/>
      <c r="F35" s="148"/>
      <c r="G35" s="148"/>
      <c r="H35" s="148"/>
      <c r="I35" s="148"/>
      <c r="J35" s="111"/>
      <c r="K35" s="111"/>
      <c r="L35" s="111"/>
      <c r="M35" s="111"/>
      <c r="N35" s="114"/>
      <c r="O35" s="154"/>
    </row>
    <row r="36" spans="1:15" x14ac:dyDescent="0.2">
      <c r="A36" s="149" t="s">
        <v>10</v>
      </c>
      <c r="B36" s="158"/>
      <c r="C36" s="148"/>
      <c r="D36" s="170"/>
      <c r="E36" s="154"/>
      <c r="F36" s="148"/>
      <c r="G36" s="148"/>
      <c r="H36" s="148"/>
      <c r="I36" s="148"/>
      <c r="J36" s="111"/>
      <c r="K36" s="111"/>
      <c r="L36" s="111"/>
      <c r="M36" s="111"/>
      <c r="N36" s="114"/>
      <c r="O36" s="154"/>
    </row>
    <row r="37" spans="1:15" x14ac:dyDescent="0.2">
      <c r="A37" s="149" t="s">
        <v>11</v>
      </c>
      <c r="B37" s="158"/>
      <c r="C37" s="148"/>
      <c r="D37" s="170"/>
      <c r="E37" s="154"/>
      <c r="F37" s="148"/>
      <c r="G37" s="148"/>
      <c r="H37" s="148"/>
      <c r="I37" s="148"/>
      <c r="J37" s="111"/>
      <c r="K37" s="111"/>
      <c r="L37" s="111"/>
      <c r="M37" s="111"/>
      <c r="N37" s="114"/>
      <c r="O37" s="154"/>
    </row>
    <row r="38" spans="1:15" x14ac:dyDescent="0.2">
      <c r="A38" s="104" t="s">
        <v>20</v>
      </c>
      <c r="B38" s="112">
        <f t="shared" ref="B38:G38" si="0">SUM(B26:B37)</f>
        <v>0</v>
      </c>
      <c r="C38" s="103">
        <f t="shared" si="0"/>
        <v>0</v>
      </c>
      <c r="D38" s="112">
        <f t="shared" si="0"/>
        <v>0</v>
      </c>
      <c r="E38" s="103">
        <f t="shared" si="0"/>
        <v>0</v>
      </c>
      <c r="F38" s="103">
        <f t="shared" si="0"/>
        <v>0</v>
      </c>
      <c r="G38" s="103">
        <f t="shared" si="0"/>
        <v>0</v>
      </c>
      <c r="H38" s="103">
        <v>0</v>
      </c>
      <c r="I38" s="103">
        <v>0</v>
      </c>
      <c r="J38" s="103">
        <v>0</v>
      </c>
      <c r="K38" s="103">
        <v>0</v>
      </c>
      <c r="L38" s="111">
        <f>J38+K38</f>
        <v>0</v>
      </c>
      <c r="M38" s="103">
        <v>0</v>
      </c>
      <c r="N38" s="103">
        <f>SUM(N26:N37)</f>
        <v>0</v>
      </c>
      <c r="O38" s="103">
        <f>SUM(O26:O37)</f>
        <v>0</v>
      </c>
    </row>
    <row r="44" spans="1:15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15" x14ac:dyDescent="0.2">
      <c r="A45" s="371"/>
      <c r="B45" s="151"/>
      <c r="C45" s="151"/>
      <c r="D45" s="151"/>
      <c r="E45" s="151"/>
      <c r="F45" s="151"/>
      <c r="G45" s="151"/>
      <c r="H45" s="155"/>
      <c r="I45" s="155"/>
      <c r="J45" s="152"/>
      <c r="K45" s="152"/>
      <c r="L45" s="152"/>
      <c r="M45" s="152"/>
      <c r="N45" s="153"/>
      <c r="O45" s="153"/>
    </row>
    <row r="46" spans="1:15" x14ac:dyDescent="0.2">
      <c r="A46" s="149"/>
      <c r="B46" s="148"/>
      <c r="C46" s="148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15" x14ac:dyDescent="0.2">
      <c r="A47" s="149"/>
      <c r="B47" s="148"/>
      <c r="C47" s="148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15" x14ac:dyDescent="0.2">
      <c r="A48" s="149"/>
      <c r="B48" s="148"/>
      <c r="C48" s="148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49"/>
      <c r="B49" s="148"/>
      <c r="C49" s="148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49"/>
      <c r="B50" s="148"/>
      <c r="C50" s="148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49"/>
      <c r="B51" s="148"/>
      <c r="C51" s="148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49"/>
      <c r="B52" s="148"/>
      <c r="C52" s="148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49"/>
      <c r="B53" s="148"/>
      <c r="C53" s="148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49"/>
      <c r="B54" s="148"/>
      <c r="C54" s="148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49"/>
      <c r="B55" s="148"/>
      <c r="C55" s="148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49"/>
      <c r="B56" s="148"/>
      <c r="C56" s="148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49"/>
      <c r="B57" s="148"/>
      <c r="C57" s="148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47">
    <mergeCell ref="N44:O44"/>
    <mergeCell ref="A44:A45"/>
    <mergeCell ref="B44:C44"/>
    <mergeCell ref="D44:E44"/>
    <mergeCell ref="F44:G44"/>
    <mergeCell ref="H44:I44"/>
    <mergeCell ref="J44:M44"/>
    <mergeCell ref="A2:A4"/>
    <mergeCell ref="N23:O23"/>
    <mergeCell ref="B24:C24"/>
    <mergeCell ref="D24:E24"/>
    <mergeCell ref="F24:G24"/>
    <mergeCell ref="H24:I24"/>
    <mergeCell ref="J24:M24"/>
    <mergeCell ref="N24:O24"/>
    <mergeCell ref="J23:M23"/>
    <mergeCell ref="A23:A25"/>
    <mergeCell ref="B23:C23"/>
    <mergeCell ref="D23:E23"/>
    <mergeCell ref="F23:G23"/>
    <mergeCell ref="H23:I23"/>
    <mergeCell ref="B2:C2"/>
    <mergeCell ref="D2:E2"/>
    <mergeCell ref="F2:G2"/>
    <mergeCell ref="H2:I2"/>
    <mergeCell ref="M8:M16"/>
    <mergeCell ref="H6:H16"/>
    <mergeCell ref="I6:I16"/>
    <mergeCell ref="K8:K16"/>
    <mergeCell ref="K5:K7"/>
    <mergeCell ref="B3:C3"/>
    <mergeCell ref="D3:E3"/>
    <mergeCell ref="F3:G3"/>
    <mergeCell ref="H3:I3"/>
    <mergeCell ref="L8:L16"/>
    <mergeCell ref="L5:L7"/>
    <mergeCell ref="O5:O16"/>
    <mergeCell ref="P2:Q2"/>
    <mergeCell ref="P3:Q3"/>
    <mergeCell ref="M5:M7"/>
    <mergeCell ref="N2:O2"/>
    <mergeCell ref="J3:M3"/>
    <mergeCell ref="N3:O3"/>
    <mergeCell ref="J2:M2"/>
    <mergeCell ref="J5:J7"/>
    <mergeCell ref="J8:J16"/>
    <mergeCell ref="N5:N16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08D96-743F-46E5-B8F1-F24743D91797}">
  <dimension ref="A1:O58"/>
  <sheetViews>
    <sheetView topLeftCell="A19" workbookViewId="0">
      <selection activeCell="A44" sqref="A44:O58"/>
    </sheetView>
  </sheetViews>
  <sheetFormatPr defaultRowHeight="12.75" x14ac:dyDescent="0.2"/>
  <cols>
    <col min="1" max="1" width="12.7109375" style="161" customWidth="1"/>
    <col min="2" max="15" width="11.7109375" style="161" customWidth="1"/>
    <col min="16" max="16384" width="9.140625" style="161"/>
  </cols>
  <sheetData>
    <row r="1" spans="1:15" ht="15" x14ac:dyDescent="0.2">
      <c r="A1" s="165" t="s">
        <v>128</v>
      </c>
      <c r="B1" s="163"/>
      <c r="C1" s="163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73" t="s">
        <v>33</v>
      </c>
    </row>
    <row r="2" spans="1:15" ht="15" customHeight="1" x14ac:dyDescent="0.2">
      <c r="A2" s="366">
        <v>2019</v>
      </c>
      <c r="B2" s="369"/>
      <c r="C2" s="370"/>
      <c r="D2" s="369"/>
      <c r="E2" s="370"/>
      <c r="F2" s="369"/>
      <c r="G2" s="370"/>
      <c r="H2" s="354"/>
      <c r="I2" s="350"/>
      <c r="J2" s="414" t="s">
        <v>127</v>
      </c>
      <c r="K2" s="415"/>
      <c r="L2" s="415"/>
      <c r="M2" s="416"/>
      <c r="N2" s="362" t="s">
        <v>126</v>
      </c>
      <c r="O2" s="362"/>
    </row>
    <row r="3" spans="1:15" ht="12.75" customHeight="1" x14ac:dyDescent="0.2">
      <c r="A3" s="367"/>
      <c r="B3" s="369" t="s">
        <v>21</v>
      </c>
      <c r="C3" s="370"/>
      <c r="D3" s="370" t="s">
        <v>12</v>
      </c>
      <c r="E3" s="370"/>
      <c r="F3" s="370" t="s">
        <v>13</v>
      </c>
      <c r="G3" s="370"/>
      <c r="H3" s="354" t="s">
        <v>29</v>
      </c>
      <c r="I3" s="350"/>
      <c r="J3" s="355" t="s">
        <v>14</v>
      </c>
      <c r="K3" s="356"/>
      <c r="L3" s="356"/>
      <c r="M3" s="357"/>
      <c r="N3" s="361" t="s">
        <v>62</v>
      </c>
      <c r="O3" s="361"/>
    </row>
    <row r="4" spans="1:15" ht="14.25" customHeight="1" x14ac:dyDescent="0.2">
      <c r="A4" s="368"/>
      <c r="B4" s="159" t="s">
        <v>16</v>
      </c>
      <c r="C4" s="151" t="s">
        <v>17</v>
      </c>
      <c r="D4" s="151" t="s">
        <v>16</v>
      </c>
      <c r="E4" s="151" t="s">
        <v>17</v>
      </c>
      <c r="F4" s="151" t="s">
        <v>16</v>
      </c>
      <c r="G4" s="151" t="s">
        <v>17</v>
      </c>
      <c r="H4" s="155" t="s">
        <v>18</v>
      </c>
      <c r="I4" s="155" t="s">
        <v>17</v>
      </c>
      <c r="J4" s="152" t="s">
        <v>35</v>
      </c>
      <c r="K4" s="152" t="s">
        <v>36</v>
      </c>
      <c r="L4" s="152" t="s">
        <v>37</v>
      </c>
      <c r="M4" s="152" t="s">
        <v>17</v>
      </c>
      <c r="N4" s="153" t="s">
        <v>23</v>
      </c>
      <c r="O4" s="153" t="s">
        <v>24</v>
      </c>
    </row>
    <row r="5" spans="1:15" x14ac:dyDescent="0.2">
      <c r="A5" s="149" t="s">
        <v>0</v>
      </c>
      <c r="B5" s="158"/>
      <c r="C5" s="148"/>
      <c r="D5" s="169"/>
      <c r="E5" s="154"/>
      <c r="F5" s="148"/>
      <c r="G5" s="148"/>
      <c r="H5" s="148"/>
      <c r="I5" s="148"/>
      <c r="J5" s="230">
        <v>329</v>
      </c>
      <c r="K5" s="230">
        <v>7835</v>
      </c>
      <c r="L5" s="230">
        <f t="shared" ref="L5:L16" si="0">J5+K5</f>
        <v>8164</v>
      </c>
      <c r="M5" s="230">
        <v>14395.31</v>
      </c>
      <c r="N5" s="419">
        <v>47</v>
      </c>
      <c r="O5" s="422">
        <v>1701.4</v>
      </c>
    </row>
    <row r="6" spans="1:15" x14ac:dyDescent="0.2">
      <c r="A6" s="149" t="s">
        <v>1</v>
      </c>
      <c r="B6" s="158"/>
      <c r="C6" s="148"/>
      <c r="D6" s="170"/>
      <c r="E6" s="154"/>
      <c r="F6" s="148"/>
      <c r="G6" s="148"/>
      <c r="H6" s="148"/>
      <c r="I6" s="148"/>
      <c r="J6" s="230">
        <v>211.35</v>
      </c>
      <c r="K6" s="230">
        <v>5033.17</v>
      </c>
      <c r="L6" s="230">
        <f t="shared" si="0"/>
        <v>5244.52</v>
      </c>
      <c r="M6" s="230">
        <v>12936.3</v>
      </c>
      <c r="N6" s="420"/>
      <c r="O6" s="423"/>
    </row>
    <row r="7" spans="1:15" x14ac:dyDescent="0.2">
      <c r="A7" s="149" t="s">
        <v>2</v>
      </c>
      <c r="B7" s="158"/>
      <c r="C7" s="148"/>
      <c r="D7" s="170"/>
      <c r="E7" s="154"/>
      <c r="F7" s="148"/>
      <c r="G7" s="148"/>
      <c r="H7" s="148"/>
      <c r="I7" s="148"/>
      <c r="J7" s="230">
        <v>150</v>
      </c>
      <c r="K7" s="230">
        <v>6993</v>
      </c>
      <c r="L7" s="230">
        <f t="shared" si="0"/>
        <v>7143</v>
      </c>
      <c r="M7" s="230">
        <v>12590.49</v>
      </c>
      <c r="N7" s="420"/>
      <c r="O7" s="423"/>
    </row>
    <row r="8" spans="1:15" x14ac:dyDescent="0.2">
      <c r="A8" s="149" t="s">
        <v>3</v>
      </c>
      <c r="B8" s="158"/>
      <c r="C8" s="148"/>
      <c r="D8" s="170"/>
      <c r="E8" s="154"/>
      <c r="F8" s="148"/>
      <c r="G8" s="148"/>
      <c r="H8" s="148"/>
      <c r="I8" s="148"/>
      <c r="J8" s="230">
        <v>93</v>
      </c>
      <c r="K8" s="230">
        <v>3644</v>
      </c>
      <c r="L8" s="230">
        <f t="shared" si="0"/>
        <v>3737</v>
      </c>
      <c r="M8" s="230">
        <v>7675.71</v>
      </c>
      <c r="N8" s="420"/>
      <c r="O8" s="423"/>
    </row>
    <row r="9" spans="1:15" x14ac:dyDescent="0.2">
      <c r="A9" s="149" t="s">
        <v>4</v>
      </c>
      <c r="B9" s="158"/>
      <c r="C9" s="148"/>
      <c r="D9" s="170"/>
      <c r="E9" s="154"/>
      <c r="F9" s="148"/>
      <c r="G9" s="148"/>
      <c r="H9" s="148"/>
      <c r="I9" s="148"/>
      <c r="J9" s="230">
        <v>110</v>
      </c>
      <c r="K9" s="230">
        <v>1573</v>
      </c>
      <c r="L9" s="230">
        <f t="shared" si="0"/>
        <v>1683</v>
      </c>
      <c r="M9" s="230">
        <v>4817.03</v>
      </c>
      <c r="N9" s="420"/>
      <c r="O9" s="423"/>
    </row>
    <row r="10" spans="1:15" x14ac:dyDescent="0.2">
      <c r="A10" s="149" t="s">
        <v>5</v>
      </c>
      <c r="B10" s="158"/>
      <c r="C10" s="148"/>
      <c r="D10" s="170"/>
      <c r="E10" s="154"/>
      <c r="F10" s="148"/>
      <c r="G10" s="148"/>
      <c r="H10" s="148"/>
      <c r="I10" s="148"/>
      <c r="J10" s="230">
        <v>113</v>
      </c>
      <c r="K10" s="230">
        <v>756</v>
      </c>
      <c r="L10" s="230">
        <f t="shared" si="0"/>
        <v>869</v>
      </c>
      <c r="M10" s="230">
        <v>3676.48</v>
      </c>
      <c r="N10" s="420"/>
      <c r="O10" s="423"/>
    </row>
    <row r="11" spans="1:15" x14ac:dyDescent="0.2">
      <c r="A11" s="149" t="s">
        <v>6</v>
      </c>
      <c r="B11" s="158"/>
      <c r="C11" s="148"/>
      <c r="D11" s="170"/>
      <c r="E11" s="154"/>
      <c r="F11" s="148"/>
      <c r="G11" s="148"/>
      <c r="H11" s="148"/>
      <c r="I11" s="148"/>
      <c r="J11" s="230">
        <v>102</v>
      </c>
      <c r="K11" s="230">
        <v>47</v>
      </c>
      <c r="L11" s="230">
        <f t="shared" si="0"/>
        <v>149</v>
      </c>
      <c r="M11" s="230">
        <v>26393.7</v>
      </c>
      <c r="N11" s="420"/>
      <c r="O11" s="423"/>
    </row>
    <row r="12" spans="1:15" x14ac:dyDescent="0.2">
      <c r="A12" s="149" t="s">
        <v>7</v>
      </c>
      <c r="B12" s="158"/>
      <c r="C12" s="148"/>
      <c r="D12" s="170"/>
      <c r="E12" s="154"/>
      <c r="F12" s="148"/>
      <c r="G12" s="148"/>
      <c r="H12" s="148"/>
      <c r="I12" s="148"/>
      <c r="J12" s="230">
        <v>108</v>
      </c>
      <c r="K12" s="230">
        <v>37</v>
      </c>
      <c r="L12" s="230">
        <f t="shared" si="0"/>
        <v>145</v>
      </c>
      <c r="M12" s="230">
        <v>2646.33</v>
      </c>
      <c r="N12" s="420"/>
      <c r="O12" s="423"/>
    </row>
    <row r="13" spans="1:15" x14ac:dyDescent="0.2">
      <c r="A13" s="149" t="s">
        <v>8</v>
      </c>
      <c r="B13" s="158"/>
      <c r="C13" s="148"/>
      <c r="D13" s="170"/>
      <c r="E13" s="154"/>
      <c r="F13" s="148"/>
      <c r="G13" s="148"/>
      <c r="H13" s="148"/>
      <c r="I13" s="148"/>
      <c r="J13" s="230">
        <v>93</v>
      </c>
      <c r="K13" s="230">
        <v>658</v>
      </c>
      <c r="L13" s="230">
        <f t="shared" si="0"/>
        <v>751</v>
      </c>
      <c r="M13" s="230">
        <v>3469.31</v>
      </c>
      <c r="N13" s="420"/>
      <c r="O13" s="423"/>
    </row>
    <row r="14" spans="1:15" x14ac:dyDescent="0.2">
      <c r="A14" s="149" t="s">
        <v>9</v>
      </c>
      <c r="B14" s="158"/>
      <c r="C14" s="148"/>
      <c r="D14" s="170"/>
      <c r="E14" s="154"/>
      <c r="F14" s="148"/>
      <c r="G14" s="148"/>
      <c r="H14" s="148"/>
      <c r="I14" s="148"/>
      <c r="J14" s="230">
        <v>93</v>
      </c>
      <c r="K14" s="230">
        <v>3149</v>
      </c>
      <c r="L14" s="230">
        <f t="shared" si="0"/>
        <v>3242</v>
      </c>
      <c r="M14" s="230">
        <v>6978.4</v>
      </c>
      <c r="N14" s="420"/>
      <c r="O14" s="423"/>
    </row>
    <row r="15" spans="1:15" x14ac:dyDescent="0.2">
      <c r="A15" s="149" t="s">
        <v>10</v>
      </c>
      <c r="B15" s="158"/>
      <c r="C15" s="148"/>
      <c r="D15" s="170"/>
      <c r="E15" s="154"/>
      <c r="F15" s="148"/>
      <c r="G15" s="148"/>
      <c r="H15" s="148"/>
      <c r="I15" s="148"/>
      <c r="J15" s="230">
        <v>44</v>
      </c>
      <c r="K15" s="230">
        <v>3600</v>
      </c>
      <c r="L15" s="230">
        <f t="shared" si="0"/>
        <v>3644</v>
      </c>
      <c r="M15" s="230">
        <v>7444.37</v>
      </c>
      <c r="N15" s="420"/>
      <c r="O15" s="423"/>
    </row>
    <row r="16" spans="1:15" x14ac:dyDescent="0.2">
      <c r="A16" s="149" t="s">
        <v>11</v>
      </c>
      <c r="B16" s="158"/>
      <c r="C16" s="148"/>
      <c r="D16" s="170"/>
      <c r="E16" s="154"/>
      <c r="F16" s="148"/>
      <c r="G16" s="148"/>
      <c r="H16" s="148"/>
      <c r="I16" s="148"/>
      <c r="J16" s="230">
        <v>205</v>
      </c>
      <c r="K16" s="230">
        <v>5251</v>
      </c>
      <c r="L16" s="230">
        <f t="shared" si="0"/>
        <v>5456</v>
      </c>
      <c r="M16" s="230">
        <v>10326.61</v>
      </c>
      <c r="N16" s="421"/>
      <c r="O16" s="424"/>
    </row>
    <row r="17" spans="1:15" x14ac:dyDescent="0.2">
      <c r="A17" s="104" t="s">
        <v>20</v>
      </c>
      <c r="B17" s="112">
        <f t="shared" ref="B17:G17" si="1">SUM(B5:B16)</f>
        <v>0</v>
      </c>
      <c r="C17" s="103">
        <f t="shared" si="1"/>
        <v>0</v>
      </c>
      <c r="D17" s="112">
        <f t="shared" si="1"/>
        <v>0</v>
      </c>
      <c r="E17" s="103">
        <f t="shared" si="1"/>
        <v>0</v>
      </c>
      <c r="F17" s="103">
        <f t="shared" si="1"/>
        <v>0</v>
      </c>
      <c r="G17" s="103">
        <f t="shared" si="1"/>
        <v>0</v>
      </c>
      <c r="H17" s="103"/>
      <c r="I17" s="103"/>
      <c r="J17" s="103">
        <f>SUM(J5:J16)</f>
        <v>1651.35</v>
      </c>
      <c r="K17" s="103">
        <f>SUM(K5:K16)</f>
        <v>38576.17</v>
      </c>
      <c r="L17" s="103">
        <f>SUM(L5:L16)</f>
        <v>40227.520000000004</v>
      </c>
      <c r="M17" s="103">
        <f>SUM(M5:M16)</f>
        <v>113350.04</v>
      </c>
      <c r="N17" s="103">
        <f>SUM(N5)</f>
        <v>47</v>
      </c>
      <c r="O17" s="103">
        <f>SUM(O5:O15)</f>
        <v>1701.4</v>
      </c>
    </row>
    <row r="18" spans="1:15" x14ac:dyDescent="0.2">
      <c r="A18" s="162"/>
      <c r="B18" s="162"/>
      <c r="C18" s="162"/>
      <c r="D18" s="162"/>
      <c r="E18" s="166"/>
      <c r="F18" s="171"/>
      <c r="G18" s="172"/>
      <c r="H18" s="171"/>
      <c r="I18" s="172"/>
      <c r="J18" s="167"/>
      <c r="K18" s="167"/>
      <c r="L18" s="167"/>
      <c r="M18" s="168"/>
      <c r="N18" s="120" t="s">
        <v>67</v>
      </c>
      <c r="O18" s="168"/>
    </row>
    <row r="19" spans="1:15" x14ac:dyDescent="0.2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 t="s">
        <v>65</v>
      </c>
      <c r="O19" s="162"/>
    </row>
    <row r="23" spans="1:15" x14ac:dyDescent="0.2">
      <c r="A23" s="366">
        <v>2020</v>
      </c>
      <c r="B23" s="369"/>
      <c r="C23" s="370"/>
      <c r="D23" s="369"/>
      <c r="E23" s="370"/>
      <c r="F23" s="369"/>
      <c r="G23" s="370"/>
      <c r="H23" s="354"/>
      <c r="I23" s="350"/>
      <c r="J23" s="414" t="s">
        <v>127</v>
      </c>
      <c r="K23" s="417"/>
      <c r="L23" s="417"/>
      <c r="M23" s="418"/>
      <c r="N23" s="362" t="s">
        <v>126</v>
      </c>
      <c r="O23" s="362"/>
    </row>
    <row r="24" spans="1:15" x14ac:dyDescent="0.2">
      <c r="A24" s="367"/>
      <c r="B24" s="369" t="s">
        <v>21</v>
      </c>
      <c r="C24" s="370"/>
      <c r="D24" s="370" t="s">
        <v>12</v>
      </c>
      <c r="E24" s="370"/>
      <c r="F24" s="370" t="s">
        <v>13</v>
      </c>
      <c r="G24" s="370"/>
      <c r="H24" s="354" t="s">
        <v>29</v>
      </c>
      <c r="I24" s="350"/>
      <c r="J24" s="355" t="s">
        <v>14</v>
      </c>
      <c r="K24" s="356"/>
      <c r="L24" s="356"/>
      <c r="M24" s="357"/>
      <c r="N24" s="361" t="s">
        <v>62</v>
      </c>
      <c r="O24" s="361"/>
    </row>
    <row r="25" spans="1:15" ht="14.25" x14ac:dyDescent="0.2">
      <c r="A25" s="368"/>
      <c r="B25" s="159" t="s">
        <v>16</v>
      </c>
      <c r="C25" s="151" t="s">
        <v>17</v>
      </c>
      <c r="D25" s="151" t="s">
        <v>16</v>
      </c>
      <c r="E25" s="151" t="s">
        <v>17</v>
      </c>
      <c r="F25" s="151" t="s">
        <v>16</v>
      </c>
      <c r="G25" s="151" t="s">
        <v>17</v>
      </c>
      <c r="H25" s="155" t="s">
        <v>18</v>
      </c>
      <c r="I25" s="155" t="s">
        <v>17</v>
      </c>
      <c r="J25" s="152" t="s">
        <v>35</v>
      </c>
      <c r="K25" s="152" t="s">
        <v>36</v>
      </c>
      <c r="L25" s="152" t="s">
        <v>37</v>
      </c>
      <c r="M25" s="152" t="s">
        <v>17</v>
      </c>
      <c r="N25" s="153" t="s">
        <v>23</v>
      </c>
      <c r="O25" s="153" t="s">
        <v>17</v>
      </c>
    </row>
    <row r="26" spans="1:15" x14ac:dyDescent="0.2">
      <c r="A26" s="149" t="s">
        <v>0</v>
      </c>
      <c r="B26" s="158"/>
      <c r="C26" s="148"/>
      <c r="D26" s="169"/>
      <c r="E26" s="154"/>
      <c r="F26" s="148"/>
      <c r="G26" s="148"/>
      <c r="H26" s="148"/>
      <c r="I26" s="148"/>
      <c r="J26" s="111">
        <v>1909</v>
      </c>
      <c r="K26" s="111">
        <v>5346</v>
      </c>
      <c r="L26" s="111">
        <f t="shared" ref="L26:L37" si="2">J26+K26</f>
        <v>7255</v>
      </c>
      <c r="M26" s="111">
        <v>16661.73</v>
      </c>
      <c r="N26" s="425">
        <v>6</v>
      </c>
      <c r="O26" s="425">
        <v>243</v>
      </c>
    </row>
    <row r="27" spans="1:15" x14ac:dyDescent="0.2">
      <c r="A27" s="149" t="s">
        <v>1</v>
      </c>
      <c r="B27" s="158"/>
      <c r="C27" s="148"/>
      <c r="D27" s="170"/>
      <c r="E27" s="154"/>
      <c r="F27" s="148"/>
      <c r="G27" s="148"/>
      <c r="H27" s="148"/>
      <c r="I27" s="148"/>
      <c r="J27" s="111">
        <v>196</v>
      </c>
      <c r="K27" s="111">
        <v>6647</v>
      </c>
      <c r="L27" s="111">
        <f t="shared" si="2"/>
        <v>6843</v>
      </c>
      <c r="M27" s="111">
        <v>11990.05</v>
      </c>
      <c r="N27" s="426"/>
      <c r="O27" s="426"/>
    </row>
    <row r="28" spans="1:15" x14ac:dyDescent="0.2">
      <c r="A28" s="149" t="s">
        <v>2</v>
      </c>
      <c r="B28" s="158"/>
      <c r="C28" s="148"/>
      <c r="D28" s="170"/>
      <c r="E28" s="154"/>
      <c r="F28" s="148"/>
      <c r="G28" s="148"/>
      <c r="H28" s="148"/>
      <c r="I28" s="148"/>
      <c r="J28" s="111">
        <v>157</v>
      </c>
      <c r="K28" s="111">
        <v>6816</v>
      </c>
      <c r="L28" s="111">
        <f t="shared" si="2"/>
        <v>6973</v>
      </c>
      <c r="M28" s="111">
        <v>12072.61</v>
      </c>
      <c r="N28" s="426"/>
      <c r="O28" s="426"/>
    </row>
    <row r="29" spans="1:15" x14ac:dyDescent="0.2">
      <c r="A29" s="149" t="s">
        <v>3</v>
      </c>
      <c r="B29" s="158"/>
      <c r="C29" s="148"/>
      <c r="D29" s="170"/>
      <c r="E29" s="154"/>
      <c r="F29" s="148"/>
      <c r="G29" s="148"/>
      <c r="H29" s="148"/>
      <c r="I29" s="148"/>
      <c r="J29" s="111">
        <v>89</v>
      </c>
      <c r="K29" s="111">
        <v>6097</v>
      </c>
      <c r="L29" s="111">
        <f t="shared" si="2"/>
        <v>6186</v>
      </c>
      <c r="M29" s="111">
        <v>10843</v>
      </c>
      <c r="N29" s="427"/>
      <c r="O29" s="427"/>
    </row>
    <row r="30" spans="1:15" x14ac:dyDescent="0.2">
      <c r="A30" s="149" t="s">
        <v>4</v>
      </c>
      <c r="B30" s="158"/>
      <c r="C30" s="148"/>
      <c r="D30" s="170"/>
      <c r="E30" s="154"/>
      <c r="F30" s="148"/>
      <c r="G30" s="148"/>
      <c r="H30" s="148"/>
      <c r="I30" s="148"/>
      <c r="J30" s="111">
        <v>50</v>
      </c>
      <c r="K30" s="111">
        <v>1482</v>
      </c>
      <c r="L30" s="111">
        <f t="shared" si="2"/>
        <v>1532</v>
      </c>
      <c r="M30" s="111">
        <v>4440.6400000000003</v>
      </c>
      <c r="N30" s="425">
        <v>26</v>
      </c>
      <c r="O30" s="425">
        <v>1053</v>
      </c>
    </row>
    <row r="31" spans="1:15" x14ac:dyDescent="0.2">
      <c r="A31" s="149" t="s">
        <v>5</v>
      </c>
      <c r="B31" s="158"/>
      <c r="C31" s="148"/>
      <c r="D31" s="170"/>
      <c r="E31" s="154"/>
      <c r="F31" s="148"/>
      <c r="G31" s="148"/>
      <c r="H31" s="148"/>
      <c r="I31" s="148"/>
      <c r="J31" s="111">
        <v>67</v>
      </c>
      <c r="K31" s="111">
        <v>159</v>
      </c>
      <c r="L31" s="111">
        <f t="shared" si="2"/>
        <v>226</v>
      </c>
      <c r="M31" s="111">
        <v>2711.22</v>
      </c>
      <c r="N31" s="426"/>
      <c r="O31" s="426"/>
    </row>
    <row r="32" spans="1:15" x14ac:dyDescent="0.2">
      <c r="A32" s="149" t="s">
        <v>6</v>
      </c>
      <c r="B32" s="158"/>
      <c r="C32" s="148"/>
      <c r="D32" s="170"/>
      <c r="E32" s="154"/>
      <c r="F32" s="148"/>
      <c r="G32" s="148"/>
      <c r="H32" s="148"/>
      <c r="I32" s="148"/>
      <c r="J32" s="111">
        <v>69</v>
      </c>
      <c r="K32" s="111">
        <v>42</v>
      </c>
      <c r="L32" s="111">
        <f t="shared" si="2"/>
        <v>111</v>
      </c>
      <c r="M32" s="111">
        <v>2560.14</v>
      </c>
      <c r="N32" s="426"/>
      <c r="O32" s="426"/>
    </row>
    <row r="33" spans="1:15" x14ac:dyDescent="0.2">
      <c r="A33" s="149" t="s">
        <v>7</v>
      </c>
      <c r="B33" s="158"/>
      <c r="C33" s="148"/>
      <c r="D33" s="170"/>
      <c r="E33" s="154"/>
      <c r="F33" s="148"/>
      <c r="G33" s="148"/>
      <c r="H33" s="148"/>
      <c r="I33" s="148"/>
      <c r="J33" s="111">
        <v>92</v>
      </c>
      <c r="K33" s="111">
        <v>50</v>
      </c>
      <c r="L33" s="111">
        <f t="shared" si="2"/>
        <v>142</v>
      </c>
      <c r="M33" s="111">
        <v>2657.39</v>
      </c>
      <c r="N33" s="426"/>
      <c r="O33" s="426"/>
    </row>
    <row r="34" spans="1:15" x14ac:dyDescent="0.2">
      <c r="A34" s="149" t="s">
        <v>8</v>
      </c>
      <c r="B34" s="158"/>
      <c r="C34" s="148"/>
      <c r="D34" s="170"/>
      <c r="E34" s="154"/>
      <c r="F34" s="148"/>
      <c r="G34" s="148"/>
      <c r="H34" s="148"/>
      <c r="I34" s="148"/>
      <c r="J34" s="111">
        <v>128</v>
      </c>
      <c r="K34" s="111">
        <v>52</v>
      </c>
      <c r="L34" s="111">
        <f t="shared" si="2"/>
        <v>180</v>
      </c>
      <c r="M34" s="111">
        <v>2795.32</v>
      </c>
      <c r="N34" s="426"/>
      <c r="O34" s="426"/>
    </row>
    <row r="35" spans="1:15" x14ac:dyDescent="0.2">
      <c r="A35" s="149" t="s">
        <v>9</v>
      </c>
      <c r="B35" s="158"/>
      <c r="C35" s="148"/>
      <c r="D35" s="170"/>
      <c r="E35" s="154"/>
      <c r="F35" s="148"/>
      <c r="G35" s="148"/>
      <c r="H35" s="148"/>
      <c r="I35" s="148"/>
      <c r="J35" s="111">
        <v>113</v>
      </c>
      <c r="K35" s="111">
        <v>2154</v>
      </c>
      <c r="L35" s="111">
        <f t="shared" si="2"/>
        <v>2267</v>
      </c>
      <c r="M35" s="111">
        <v>5588.16</v>
      </c>
      <c r="N35" s="426"/>
      <c r="O35" s="426"/>
    </row>
    <row r="36" spans="1:15" x14ac:dyDescent="0.2">
      <c r="A36" s="149" t="s">
        <v>10</v>
      </c>
      <c r="B36" s="158"/>
      <c r="C36" s="148"/>
      <c r="D36" s="170"/>
      <c r="E36" s="154"/>
      <c r="F36" s="148"/>
      <c r="G36" s="148"/>
      <c r="H36" s="148"/>
      <c r="I36" s="148"/>
      <c r="J36" s="111">
        <v>76</v>
      </c>
      <c r="K36" s="111">
        <v>2631</v>
      </c>
      <c r="L36" s="111">
        <f t="shared" si="2"/>
        <v>2707</v>
      </c>
      <c r="M36" s="111">
        <v>6095.72</v>
      </c>
      <c r="N36" s="426"/>
      <c r="O36" s="426"/>
    </row>
    <row r="37" spans="1:15" x14ac:dyDescent="0.2">
      <c r="A37" s="149" t="s">
        <v>11</v>
      </c>
      <c r="B37" s="158"/>
      <c r="C37" s="148"/>
      <c r="D37" s="170"/>
      <c r="E37" s="154"/>
      <c r="F37" s="148"/>
      <c r="G37" s="148"/>
      <c r="H37" s="148"/>
      <c r="I37" s="148"/>
      <c r="J37" s="111">
        <v>104</v>
      </c>
      <c r="K37" s="111">
        <v>2952</v>
      </c>
      <c r="L37" s="111">
        <f t="shared" si="2"/>
        <v>3056</v>
      </c>
      <c r="M37" s="111">
        <v>6636.01</v>
      </c>
      <c r="N37" s="427"/>
      <c r="O37" s="427"/>
    </row>
    <row r="38" spans="1:15" x14ac:dyDescent="0.2">
      <c r="A38" s="104" t="s">
        <v>20</v>
      </c>
      <c r="B38" s="112">
        <f t="shared" ref="B38:G38" si="3">SUM(B26:B37)</f>
        <v>0</v>
      </c>
      <c r="C38" s="103">
        <f t="shared" si="3"/>
        <v>0</v>
      </c>
      <c r="D38" s="112">
        <f t="shared" si="3"/>
        <v>0</v>
      </c>
      <c r="E38" s="103">
        <f t="shared" si="3"/>
        <v>0</v>
      </c>
      <c r="F38" s="103">
        <f t="shared" si="3"/>
        <v>0</v>
      </c>
      <c r="G38" s="103">
        <f t="shared" si="3"/>
        <v>0</v>
      </c>
      <c r="H38" s="103"/>
      <c r="I38" s="103"/>
      <c r="J38" s="103">
        <f>SUM(J26:J37)</f>
        <v>3050</v>
      </c>
      <c r="K38" s="103">
        <f>SUM(K26:K37)</f>
        <v>34428</v>
      </c>
      <c r="L38" s="103">
        <f>SUM(L26:L37)</f>
        <v>37478</v>
      </c>
      <c r="M38" s="103">
        <f>SUM(M26:M37)</f>
        <v>85051.99</v>
      </c>
      <c r="N38" s="103">
        <f>SUM(N26:N36)</f>
        <v>32</v>
      </c>
      <c r="O38" s="103">
        <f>SUM(O26:O36)</f>
        <v>1296</v>
      </c>
    </row>
    <row r="39" spans="1:15" x14ac:dyDescent="0.2">
      <c r="N39" s="120" t="s">
        <v>67</v>
      </c>
      <c r="O39" s="168"/>
    </row>
    <row r="40" spans="1:15" x14ac:dyDescent="0.2">
      <c r="N40" s="137" t="s">
        <v>68</v>
      </c>
      <c r="O40" s="162"/>
    </row>
    <row r="41" spans="1:15" x14ac:dyDescent="0.2">
      <c r="N41" s="138" t="s">
        <v>69</v>
      </c>
    </row>
    <row r="44" spans="1:15" x14ac:dyDescent="0.2">
      <c r="A44" s="371"/>
      <c r="B44" s="372"/>
      <c r="C44" s="372"/>
      <c r="D44" s="370"/>
      <c r="E44" s="370"/>
      <c r="F44" s="370"/>
      <c r="G44" s="370"/>
      <c r="H44" s="354"/>
      <c r="I44" s="350"/>
      <c r="J44" s="373"/>
      <c r="K44" s="373"/>
      <c r="L44" s="373"/>
      <c r="M44" s="373"/>
      <c r="N44" s="361"/>
      <c r="O44" s="361"/>
    </row>
    <row r="45" spans="1:15" x14ac:dyDescent="0.2">
      <c r="A45" s="371"/>
      <c r="B45" s="151"/>
      <c r="C45" s="151"/>
      <c r="D45" s="151"/>
      <c r="E45" s="151"/>
      <c r="F45" s="151"/>
      <c r="G45" s="151"/>
      <c r="H45" s="155"/>
      <c r="I45" s="155"/>
      <c r="J45" s="152"/>
      <c r="K45" s="152"/>
      <c r="L45" s="152"/>
      <c r="M45" s="152"/>
      <c r="N45" s="153"/>
      <c r="O45" s="153"/>
    </row>
    <row r="46" spans="1:15" x14ac:dyDescent="0.2">
      <c r="A46" s="149"/>
      <c r="B46" s="148"/>
      <c r="C46" s="148"/>
      <c r="D46" s="105"/>
      <c r="E46" s="106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1:15" x14ac:dyDescent="0.2">
      <c r="A47" s="149"/>
      <c r="B47" s="148"/>
      <c r="C47" s="148"/>
      <c r="D47" s="105"/>
      <c r="E47" s="106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1:15" x14ac:dyDescent="0.2">
      <c r="A48" s="149"/>
      <c r="B48" s="148"/>
      <c r="C48" s="148"/>
      <c r="D48" s="105"/>
      <c r="E48" s="106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1:15" x14ac:dyDescent="0.2">
      <c r="A49" s="149"/>
      <c r="B49" s="148"/>
      <c r="C49" s="148"/>
      <c r="D49" s="105"/>
      <c r="E49" s="106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1:15" x14ac:dyDescent="0.2">
      <c r="A50" s="149"/>
      <c r="B50" s="148"/>
      <c r="C50" s="148"/>
      <c r="D50" s="105"/>
      <c r="E50" s="106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1:15" x14ac:dyDescent="0.2">
      <c r="A51" s="149"/>
      <c r="B51" s="148"/>
      <c r="C51" s="148"/>
      <c r="D51" s="105"/>
      <c r="E51" s="106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1:15" x14ac:dyDescent="0.2">
      <c r="A52" s="149"/>
      <c r="B52" s="148"/>
      <c r="C52" s="148"/>
      <c r="D52" s="105"/>
      <c r="E52" s="106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1:15" x14ac:dyDescent="0.2">
      <c r="A53" s="149"/>
      <c r="B53" s="148"/>
      <c r="C53" s="148"/>
      <c r="D53" s="105"/>
      <c r="E53" s="106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  <row r="54" spans="1:15" x14ac:dyDescent="0.2">
      <c r="A54" s="149"/>
      <c r="B54" s="148"/>
      <c r="C54" s="148"/>
      <c r="D54" s="105"/>
      <c r="E54" s="106"/>
      <c r="F54" s="105"/>
      <c r="G54" s="105"/>
      <c r="H54" s="105"/>
      <c r="I54" s="105"/>
      <c r="J54" s="105"/>
      <c r="K54" s="105"/>
      <c r="L54" s="105"/>
      <c r="M54" s="105"/>
      <c r="N54" s="105"/>
      <c r="O54" s="105"/>
    </row>
    <row r="55" spans="1:15" x14ac:dyDescent="0.2">
      <c r="A55" s="149"/>
      <c r="B55" s="148"/>
      <c r="C55" s="148"/>
      <c r="D55" s="105"/>
      <c r="E55" s="106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  <row r="56" spans="1:15" x14ac:dyDescent="0.2">
      <c r="A56" s="149"/>
      <c r="B56" s="148"/>
      <c r="C56" s="148"/>
      <c r="D56" s="105"/>
      <c r="E56" s="106"/>
      <c r="F56" s="105"/>
      <c r="G56" s="105"/>
      <c r="H56" s="105"/>
      <c r="I56" s="105"/>
      <c r="J56" s="105"/>
      <c r="K56" s="105"/>
      <c r="L56" s="105"/>
      <c r="M56" s="105"/>
      <c r="N56" s="105"/>
      <c r="O56" s="105"/>
    </row>
    <row r="57" spans="1:15" x14ac:dyDescent="0.2">
      <c r="A57" s="149"/>
      <c r="B57" s="148"/>
      <c r="C57" s="148"/>
      <c r="D57" s="105"/>
      <c r="E57" s="106"/>
      <c r="F57" s="105"/>
      <c r="G57" s="105"/>
      <c r="H57" s="105"/>
      <c r="I57" s="105"/>
      <c r="J57" s="105"/>
      <c r="K57" s="105"/>
      <c r="L57" s="105"/>
      <c r="M57" s="105"/>
      <c r="N57" s="105"/>
      <c r="O57" s="105"/>
    </row>
    <row r="58" spans="1:15" x14ac:dyDescent="0.2">
      <c r="A58" s="104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</row>
  </sheetData>
  <mergeCells count="39">
    <mergeCell ref="N26:N29"/>
    <mergeCell ref="O26:O29"/>
    <mergeCell ref="N30:N37"/>
    <mergeCell ref="O30:O37"/>
    <mergeCell ref="N23:O23"/>
    <mergeCell ref="N24:O24"/>
    <mergeCell ref="N44:O44"/>
    <mergeCell ref="A44:A45"/>
    <mergeCell ref="B44:C44"/>
    <mergeCell ref="D44:E44"/>
    <mergeCell ref="F44:G44"/>
    <mergeCell ref="H44:I44"/>
    <mergeCell ref="J44:M44"/>
    <mergeCell ref="A23:A25"/>
    <mergeCell ref="B23:C23"/>
    <mergeCell ref="D23:E23"/>
    <mergeCell ref="F23:G23"/>
    <mergeCell ref="H23:I23"/>
    <mergeCell ref="B24:C24"/>
    <mergeCell ref="D24:E24"/>
    <mergeCell ref="F24:G24"/>
    <mergeCell ref="H24:I24"/>
    <mergeCell ref="J24:M24"/>
    <mergeCell ref="N2:O2"/>
    <mergeCell ref="B3:C3"/>
    <mergeCell ref="D3:E3"/>
    <mergeCell ref="F3:G3"/>
    <mergeCell ref="H3:I3"/>
    <mergeCell ref="J3:M3"/>
    <mergeCell ref="N3:O3"/>
    <mergeCell ref="J2:M2"/>
    <mergeCell ref="J23:M23"/>
    <mergeCell ref="N5:N16"/>
    <mergeCell ref="O5:O16"/>
    <mergeCell ref="A2:A4"/>
    <mergeCell ref="B2:C2"/>
    <mergeCell ref="D2:E2"/>
    <mergeCell ref="F2:G2"/>
    <mergeCell ref="H2:I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27</vt:i4>
      </vt:variant>
    </vt:vector>
  </HeadingPairs>
  <TitlesOfParts>
    <vt:vector size="27" baseType="lpstr">
      <vt:lpstr>1 MŠ Budovatelská 580</vt:lpstr>
      <vt:lpstr>2 MŠ Butovická 106</vt:lpstr>
      <vt:lpstr>3 MŠ Komenského 700</vt:lpstr>
      <vt:lpstr>4 MŠ Poštovní 659</vt:lpstr>
      <vt:lpstr>5 ZŠ Butovická 346</vt:lpstr>
      <vt:lpstr>6 ZŠ FKT (TGM) 2. května 500</vt:lpstr>
      <vt:lpstr>7-10 ZŠ Sjednocení</vt:lpstr>
      <vt:lpstr>11 ZUŠ Butovická 376</vt:lpstr>
      <vt:lpstr>12 Nový zámek </vt:lpstr>
      <vt:lpstr>13 SDH 2. května 883</vt:lpstr>
      <vt:lpstr>14 SDH Družstevní 284</vt:lpstr>
      <vt:lpstr>15 SDH Butovická 514</vt:lpstr>
      <vt:lpstr>16 Dělnický dům 2. května 7</vt:lpstr>
      <vt:lpstr>17 jídelna FKT (TGM) 2. května</vt:lpstr>
      <vt:lpstr>18 MěÚ 762</vt:lpstr>
      <vt:lpstr>19 MŠ R. Tomáška</vt:lpstr>
      <vt:lpstr>20 budova A.g.L.Svobody čp. 760</vt:lpstr>
      <vt:lpstr>23 sport. ubyt. komplex</vt:lpstr>
      <vt:lpstr>22 poštovní 772</vt:lpstr>
      <vt:lpstr>21 MŠ Nová Horka + byty</vt:lpstr>
      <vt:lpstr>24 Sportovní hala</vt:lpstr>
      <vt:lpstr>25 Tovární 386</vt:lpstr>
      <vt:lpstr>26 ČOV</vt:lpstr>
      <vt:lpstr>27Veřejné osvětlení</vt:lpstr>
      <vt:lpstr>Klimatické údaje 2019</vt:lpstr>
      <vt:lpstr>Provozní podmínky</vt:lpstr>
      <vt:lpstr>Vzor (2)</vt:lpstr>
    </vt:vector>
  </TitlesOfParts>
  <Company>CEIS 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Referenční spotřeby</dc:title>
  <dc:subject>EPC Český Těšín</dc:subject>
  <dc:creator>Vladimír Baginský</dc:creator>
  <cp:lastModifiedBy>Martin</cp:lastModifiedBy>
  <cp:lastPrinted>2012-05-03T07:37:01Z</cp:lastPrinted>
  <dcterms:created xsi:type="dcterms:W3CDTF">2009-02-27T07:52:57Z</dcterms:created>
  <dcterms:modified xsi:type="dcterms:W3CDTF">2022-08-03T07:00:45Z</dcterms:modified>
</cp:coreProperties>
</file>